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3.xml" ContentType="application/vnd.openxmlformats-officedocument.drawing+xml"/>
  <Override PartName="/xl/tables/table1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drawings/drawing4.xml" ContentType="application/vnd.openxmlformats-officedocument.drawing+xml"/>
  <Override PartName="/xl/tables/table30.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drawings/drawing5.xml" ContentType="application/vnd.openxmlformats-officedocument.drawing+xml"/>
  <Override PartName="/xl/tables/table44.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drawings/drawing6.xml" ContentType="application/vnd.openxmlformats-officedocument.drawing+xml"/>
  <Override PartName="/xl/tables/table58.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drawings/drawing7.xml" ContentType="application/vnd.openxmlformats-officedocument.drawing+xml"/>
  <Override PartName="/xl/tables/table72.xml" ContentType="application/vnd.openxmlformats-officedocument.spreadsheetml.tab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drawings/drawing8.xml" ContentType="application/vnd.openxmlformats-officedocument.drawing+xml"/>
  <Override PartName="/xl/tables/table86.xml" ContentType="application/vnd.openxmlformats-officedocument.spreadsheetml.tab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drawings/drawing9.xml" ContentType="application/vnd.openxmlformats-officedocument.drawing+xml"/>
  <Override PartName="/xl/tables/table100.xml" ContentType="application/vnd.openxmlformats-officedocument.spreadsheetml.tab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drawings/drawing10.xml" ContentType="application/vnd.openxmlformats-officedocument.drawing+xml"/>
  <Override PartName="/xl/tables/table114.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drawings/drawing11.xml" ContentType="application/vnd.openxmlformats-officedocument.drawing+xml"/>
  <Override PartName="/xl/tables/table128.xml" ContentType="application/vnd.openxmlformats-officedocument.spreadsheetml.tab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drawings/drawing12.xml" ContentType="application/vnd.openxmlformats-officedocument.drawing+xml"/>
  <Override PartName="/xl/tables/table142.xml" ContentType="application/vnd.openxmlformats-officedocument.spreadsheetml.tab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drawings/drawing13.xml" ContentType="application/vnd.openxmlformats-officedocument.drawing+xml"/>
  <Override PartName="/xl/tables/table156.xml" ContentType="application/vnd.openxmlformats-officedocument.spreadsheetml.tab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xr:revisionPtr revIDLastSave="0" documentId="8_{107272C8-C046-40DA-A6FD-0B974F6F7762}" xr6:coauthVersionLast="47" xr6:coauthVersionMax="47" xr10:uidLastSave="{00000000-0000-0000-0000-000000000000}"/>
  <bookViews>
    <workbookView xWindow="-108" yWindow="-108" windowWidth="23256" windowHeight="12456" tabRatio="919" xr2:uid="{00000000-000D-0000-FFFF-FFFF00000000}"/>
  </bookViews>
  <sheets>
    <sheet name="Year - Overview" sheetId="36" r:id="rId1"/>
    <sheet name="January - Overview" sheetId="1" r:id="rId2"/>
    <sheet name="Jan - Bills &amp; Expenses" sheetId="2" r:id="rId3"/>
    <sheet name="February - Overview" sheetId="56" r:id="rId4"/>
    <sheet name="Feb - Bills &amp; Expenses" sheetId="57" r:id="rId5"/>
    <sheet name="March - Overview" sheetId="46" r:id="rId6"/>
    <sheet name="Mar - Bills &amp; Expenses" sheetId="58" r:id="rId7"/>
    <sheet name="April - Overview" sheetId="47" r:id="rId8"/>
    <sheet name="Apr - Bills &amp; Expenses" sheetId="59" r:id="rId9"/>
    <sheet name="May - Overview" sheetId="48" r:id="rId10"/>
    <sheet name="May - Bills &amp; Expenses" sheetId="60" r:id="rId11"/>
    <sheet name="June - Overview" sheetId="49" r:id="rId12"/>
    <sheet name="Jun - Bills &amp; Expenses" sheetId="61" r:id="rId13"/>
    <sheet name="July - Overview" sheetId="50" r:id="rId14"/>
    <sheet name="Jul - Bills &amp; Expenses" sheetId="62" r:id="rId15"/>
    <sheet name="August - Overview" sheetId="51" r:id="rId16"/>
    <sheet name="Aug - Bills &amp; Expenses" sheetId="63" r:id="rId17"/>
    <sheet name="September - Overview" sheetId="52" r:id="rId18"/>
    <sheet name="Sept - Bills &amp; Expenses" sheetId="64" r:id="rId19"/>
    <sheet name="October - Overview" sheetId="53" r:id="rId20"/>
    <sheet name="Oct - Bills &amp; Expenses" sheetId="65" r:id="rId21"/>
    <sheet name="November - Overview" sheetId="54" r:id="rId22"/>
    <sheet name="Nov - Bills &amp; Expenses" sheetId="66" r:id="rId23"/>
    <sheet name="December - Overview" sheetId="55" r:id="rId24"/>
    <sheet name="Dec - Bills &amp; Expenses" sheetId="67" r:id="rId25"/>
  </sheets>
  <externalReferences>
    <externalReference r:id="rId26"/>
  </externalReferences>
  <definedNames>
    <definedName name="calendar" localSheetId="7">#N/A</definedName>
    <definedName name="calendar" localSheetId="15">#N/A</definedName>
    <definedName name="calendar" localSheetId="23">#N/A</definedName>
    <definedName name="calendar" localSheetId="3">#N/A</definedName>
    <definedName name="calendar" localSheetId="1">daygrid+[1]Calendar!firstdate-WEEKDAY([1]Calendar!firstdate)-weekday_option</definedName>
    <definedName name="calendar" localSheetId="13">#N/A</definedName>
    <definedName name="calendar" localSheetId="11">#N/A</definedName>
    <definedName name="calendar" localSheetId="5">#N/A</definedName>
    <definedName name="calendar" localSheetId="9">#N/A</definedName>
    <definedName name="calendar" localSheetId="21">#N/A</definedName>
    <definedName name="calendar" localSheetId="19">#N/A</definedName>
    <definedName name="calendar" localSheetId="17">#N/A</definedName>
    <definedName name="calendar" localSheetId="0">#N/A</definedName>
    <definedName name="daygrid">days+weeks*7</definedName>
    <definedName name="days">{0,1,2,3,4,5,6}</definedName>
    <definedName name="DayToStart" localSheetId="7">'April - Overview'!$E$1</definedName>
    <definedName name="DayToStart" localSheetId="15">'August - Overview'!$E$1</definedName>
    <definedName name="DayToStart" localSheetId="23">'December - Overview'!$E$1</definedName>
    <definedName name="DayToStart" localSheetId="3">'February - Overview'!$E$1</definedName>
    <definedName name="DayToStart" localSheetId="13">'July - Overview'!$E$1</definedName>
    <definedName name="DayToStart" localSheetId="11">'June - Overview'!$E$1</definedName>
    <definedName name="DayToStart" localSheetId="5">'March - Overview'!$E$1</definedName>
    <definedName name="DayToStart" localSheetId="9">'May - Overview'!$E$1</definedName>
    <definedName name="DayToStart" localSheetId="21">'November - Overview'!$E$1</definedName>
    <definedName name="DayToStart" localSheetId="19">'October - Overview'!$E$1</definedName>
    <definedName name="DayToStart" localSheetId="17">'September - Overview'!$E$1</definedName>
    <definedName name="DayToStart" localSheetId="0">'Year - Overview'!$E$1</definedName>
    <definedName name="DayToStart">'January - Overview'!$E$1</definedName>
    <definedName name="months">{"January","February","March","April","May","June","July","August","September","October","November","December"}</definedName>
    <definedName name="MonthToDisplayNumber" localSheetId="7">#N/A</definedName>
    <definedName name="MonthToDisplayNumber" localSheetId="15">#N/A</definedName>
    <definedName name="MonthToDisplayNumber" localSheetId="23">#N/A</definedName>
    <definedName name="MonthToDisplayNumber" localSheetId="3">#N/A</definedName>
    <definedName name="MonthToDisplayNumber" localSheetId="1">MATCH([1]Calendar!MonthToDisplay,months,0)</definedName>
    <definedName name="MonthToDisplayNumber" localSheetId="13">#N/A</definedName>
    <definedName name="MonthToDisplayNumber" localSheetId="11">#N/A</definedName>
    <definedName name="MonthToDisplayNumber" localSheetId="5">#N/A</definedName>
    <definedName name="MonthToDisplayNumber" localSheetId="9">#N/A</definedName>
    <definedName name="MonthToDisplayNumber" localSheetId="21">#N/A</definedName>
    <definedName name="MonthToDisplayNumber" localSheetId="19">#N/A</definedName>
    <definedName name="MonthToDisplayNumber" localSheetId="17">#N/A</definedName>
    <definedName name="MonthToDisplayNumber" localSheetId="0">#N/A</definedName>
    <definedName name="ndx" localSheetId="7">ROUNDUP(MATCH(2,1/FREQUENCY(DATE([1]Calendar!YearToDisplay,[1]Calendar!MonthToDisplayNumber,1),[1]Calendar!calendar))/7,0)</definedName>
    <definedName name="ndx" localSheetId="15">ROUNDUP(MATCH(2,1/FREQUENCY(DATE([1]Calendar!YearToDisplay,[1]Calendar!MonthToDisplayNumber,1),[1]Calendar!calendar))/7,0)</definedName>
    <definedName name="ndx" localSheetId="23">ROUNDUP(MATCH(2,1/FREQUENCY(DATE([1]Calendar!YearToDisplay,[1]Calendar!MonthToDisplayNumber,1),[1]Calendar!calendar))/7,0)</definedName>
    <definedName name="ndx" localSheetId="3">ROUNDUP(MATCH(2,1/FREQUENCY(DATE([1]Calendar!YearToDisplay,[1]Calendar!MonthToDisplayNumber,1),[1]Calendar!calendar))/7,0)</definedName>
    <definedName name="ndx" localSheetId="1">ROUNDUP(MATCH(2,1/FREQUENCY(DATE([1]Calendar!YearToDisplay,[1]Calendar!MonthToDisplayNumber,1),[1]Calendar!calendar))/7,0)</definedName>
    <definedName name="ndx" localSheetId="13">ROUNDUP(MATCH(2,1/FREQUENCY(DATE([1]Calendar!YearToDisplay,[1]Calendar!MonthToDisplayNumber,1),[1]Calendar!calendar))/7,0)</definedName>
    <definedName name="ndx" localSheetId="11">ROUNDUP(MATCH(2,1/FREQUENCY(DATE([1]Calendar!YearToDisplay,[1]Calendar!MonthToDisplayNumber,1),[1]Calendar!calendar))/7,0)</definedName>
    <definedName name="ndx" localSheetId="5">ROUNDUP(MATCH(2,1/FREQUENCY(DATE([1]Calendar!YearToDisplay,[1]Calendar!MonthToDisplayNumber,1),[1]Calendar!calendar))/7,0)</definedName>
    <definedName name="ndx" localSheetId="9">ROUNDUP(MATCH(2,1/FREQUENCY(DATE([1]Calendar!YearToDisplay,[1]Calendar!MonthToDisplayNumber,1),[1]Calendar!calendar))/7,0)</definedName>
    <definedName name="ndx" localSheetId="21">ROUNDUP(MATCH(2,1/FREQUENCY(DATE([1]Calendar!YearToDisplay,[1]Calendar!MonthToDisplayNumber,1),[1]Calendar!calendar))/7,0)</definedName>
    <definedName name="ndx" localSheetId="19">ROUNDUP(MATCH(2,1/FREQUENCY(DATE([1]Calendar!YearToDisplay,[1]Calendar!MonthToDisplayNumber,1),[1]Calendar!calendar))/7,0)</definedName>
    <definedName name="ndx" localSheetId="17">ROUNDUP(MATCH(2,1/FREQUENCY(DATE([1]Calendar!YearToDisplay,[1]Calendar!MonthToDisplayNumber,1),[1]Calendar!calendar))/7,0)</definedName>
    <definedName name="ndx" localSheetId="0">ROUNDUP(MATCH(2,1/FREQUENCY(DATE([1]Calendar!YearToDisplay,[1]Calendar!MonthToDisplayNumber,1),[1]Calendar!calendar))/7,0)</definedName>
    <definedName name="weekday_option" localSheetId="7">MATCH('April - Overview'!DayToStart,[0]!weekdays_reversed,0)-2</definedName>
    <definedName name="weekday_option" localSheetId="15">MATCH('August - Overview'!DayToStart,[0]!weekdays_reversed,0)-2</definedName>
    <definedName name="weekday_option" localSheetId="23">MATCH('December - Overview'!DayToStart,[0]!weekdays_reversed,0)-2</definedName>
    <definedName name="weekday_option" localSheetId="3">MATCH('February - Overview'!DayToStart,[0]!weekdays_reversed,0)-2</definedName>
    <definedName name="weekday_option" localSheetId="13">MATCH('July - Overview'!DayToStart,[0]!weekdays_reversed,0)-2</definedName>
    <definedName name="weekday_option" localSheetId="11">MATCH('June - Overview'!DayToStart,[0]!weekdays_reversed,0)-2</definedName>
    <definedName name="weekday_option" localSheetId="5">MATCH('March - Overview'!DayToStart,[0]!weekdays_reversed,0)-2</definedName>
    <definedName name="weekday_option" localSheetId="9">MATCH('May - Overview'!DayToStart,[0]!weekdays_reversed,0)-2</definedName>
    <definedName name="weekday_option" localSheetId="21">MATCH('November - Overview'!DayToStart,[0]!weekdays_reversed,0)-2</definedName>
    <definedName name="weekday_option" localSheetId="19">MATCH('October - Overview'!DayToStart,[0]!weekdays_reversed,0)-2</definedName>
    <definedName name="weekday_option" localSheetId="17">MATCH('September - Overview'!DayToStart,[0]!weekdays_reversed,0)-2</definedName>
    <definedName name="weekday_option" localSheetId="0">MATCH('Year - Overview'!DayToStart,[0]!weekdays_reversed,0)-2</definedName>
    <definedName name="weekday_option">MATCH(DayToStart,weekdays_reversed,0)-2</definedName>
    <definedName name="weekdays_reversed">{"Sunday","Saturday","Friday","Thursday","Wednesday","Tuesday","Monday"}</definedName>
    <definedName name="weeks">{0;1;2;3;4;5;6}</definedName>
  </definedNames>
  <calcPr calcId="191028"/>
  <webPublishing codePage="1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6" l="1"/>
  <c r="D7" i="36"/>
  <c r="C8" i="36"/>
  <c r="D8" i="36"/>
  <c r="C9" i="36"/>
  <c r="D9" i="36"/>
  <c r="C10" i="36"/>
  <c r="D10" i="36"/>
  <c r="E10" i="36" s="1"/>
  <c r="C11" i="36"/>
  <c r="D11" i="36"/>
  <c r="C12" i="36"/>
  <c r="D12" i="36"/>
  <c r="C13" i="36"/>
  <c r="D13" i="36"/>
  <c r="C14" i="36"/>
  <c r="D14" i="36"/>
  <c r="C15" i="36"/>
  <c r="D15" i="36"/>
  <c r="C16" i="36"/>
  <c r="D16" i="36"/>
  <c r="C17" i="36"/>
  <c r="D17" i="36"/>
  <c r="C18" i="36"/>
  <c r="D18" i="36"/>
  <c r="E18" i="36" s="1"/>
  <c r="D6" i="36"/>
  <c r="E6" i="36" s="1"/>
  <c r="C19" i="36"/>
  <c r="C3" i="36" s="1"/>
  <c r="C6" i="36"/>
  <c r="D3" i="55"/>
  <c r="C3" i="55"/>
  <c r="D3" i="54"/>
  <c r="C3" i="54"/>
  <c r="D3" i="53"/>
  <c r="C3" i="53"/>
  <c r="D3" i="52"/>
  <c r="C3" i="52"/>
  <c r="D3" i="51"/>
  <c r="C3" i="51"/>
  <c r="D3" i="50"/>
  <c r="C3" i="50"/>
  <c r="D3" i="49"/>
  <c r="C3" i="49"/>
  <c r="D3" i="47"/>
  <c r="C3" i="47"/>
  <c r="D3" i="46"/>
  <c r="C3" i="46"/>
  <c r="D3" i="56"/>
  <c r="C3" i="56"/>
  <c r="D72" i="67"/>
  <c r="C72" i="67"/>
  <c r="F71" i="67"/>
  <c r="F70" i="67"/>
  <c r="F69" i="67"/>
  <c r="F68" i="67"/>
  <c r="F67" i="67"/>
  <c r="F66" i="67"/>
  <c r="F65" i="67"/>
  <c r="F72" i="67" s="1"/>
  <c r="D62" i="67"/>
  <c r="C62" i="67"/>
  <c r="F61" i="67"/>
  <c r="J60" i="67"/>
  <c r="I60" i="67"/>
  <c r="F60" i="67"/>
  <c r="L59" i="67"/>
  <c r="F59" i="67"/>
  <c r="L58" i="67"/>
  <c r="F58" i="67"/>
  <c r="L57" i="67"/>
  <c r="L60" i="67" s="1"/>
  <c r="F57" i="67"/>
  <c r="F62" i="67" s="1"/>
  <c r="D54" i="67"/>
  <c r="C54" i="67"/>
  <c r="F53" i="67"/>
  <c r="F52" i="67"/>
  <c r="J51" i="67"/>
  <c r="I51" i="67"/>
  <c r="F51" i="67"/>
  <c r="L50" i="67"/>
  <c r="F50" i="67"/>
  <c r="L49" i="67"/>
  <c r="F49" i="67"/>
  <c r="L48" i="67"/>
  <c r="F48" i="67"/>
  <c r="L47" i="67"/>
  <c r="F47" i="67"/>
  <c r="L46" i="67"/>
  <c r="F46" i="67"/>
  <c r="L45" i="67"/>
  <c r="F45" i="67"/>
  <c r="L44" i="67"/>
  <c r="L51" i="67" s="1"/>
  <c r="F44" i="67"/>
  <c r="F54" i="67" s="1"/>
  <c r="F41" i="67"/>
  <c r="D41" i="67"/>
  <c r="C41" i="67"/>
  <c r="J40" i="67"/>
  <c r="I40" i="67"/>
  <c r="F40" i="67"/>
  <c r="L39" i="67"/>
  <c r="F39" i="67"/>
  <c r="L38" i="67"/>
  <c r="F38" i="67"/>
  <c r="L37" i="67"/>
  <c r="L40" i="67" s="1"/>
  <c r="F37" i="67"/>
  <c r="L36" i="67"/>
  <c r="F36" i="67"/>
  <c r="L33" i="67"/>
  <c r="J33" i="67"/>
  <c r="I33" i="67"/>
  <c r="D33" i="67"/>
  <c r="C33" i="67"/>
  <c r="L32" i="67"/>
  <c r="F32" i="67"/>
  <c r="L31" i="67"/>
  <c r="F31" i="67"/>
  <c r="L30" i="67"/>
  <c r="F30" i="67"/>
  <c r="L29" i="67"/>
  <c r="F29" i="67"/>
  <c r="L28" i="67"/>
  <c r="F28" i="67"/>
  <c r="F33" i="67" s="1"/>
  <c r="F25" i="67"/>
  <c r="D25" i="67"/>
  <c r="C25" i="67"/>
  <c r="J24" i="67"/>
  <c r="I24" i="67"/>
  <c r="F24" i="67"/>
  <c r="L23" i="67"/>
  <c r="F23" i="67"/>
  <c r="L22" i="67"/>
  <c r="F22" i="67"/>
  <c r="L21" i="67"/>
  <c r="F21" i="67"/>
  <c r="L20" i="67"/>
  <c r="F20" i="67"/>
  <c r="L19" i="67"/>
  <c r="F19" i="67"/>
  <c r="L18" i="67"/>
  <c r="F18" i="67"/>
  <c r="L17" i="67"/>
  <c r="F17" i="67"/>
  <c r="L16" i="67"/>
  <c r="L24" i="67" s="1"/>
  <c r="F16" i="67"/>
  <c r="D13" i="67"/>
  <c r="C13" i="67"/>
  <c r="F12" i="67"/>
  <c r="F11" i="67"/>
  <c r="J10" i="67"/>
  <c r="I10" i="67"/>
  <c r="F10" i="67"/>
  <c r="L9" i="67"/>
  <c r="F9" i="67"/>
  <c r="L8" i="67"/>
  <c r="F8" i="67"/>
  <c r="L7" i="67"/>
  <c r="F7" i="67"/>
  <c r="L6" i="67"/>
  <c r="F6" i="67"/>
  <c r="L5" i="67"/>
  <c r="F5" i="67"/>
  <c r="L4" i="67"/>
  <c r="F4" i="67"/>
  <c r="L3" i="67"/>
  <c r="L10" i="67" s="1"/>
  <c r="F3" i="67"/>
  <c r="F13" i="67" s="1"/>
  <c r="D72" i="66"/>
  <c r="C72" i="66"/>
  <c r="F71" i="66"/>
  <c r="F70" i="66"/>
  <c r="F69" i="66"/>
  <c r="F68" i="66"/>
  <c r="F67" i="66"/>
  <c r="F66" i="66"/>
  <c r="F65" i="66"/>
  <c r="F72" i="66" s="1"/>
  <c r="D62" i="66"/>
  <c r="C62" i="66"/>
  <c r="F61" i="66"/>
  <c r="J60" i="66"/>
  <c r="I60" i="66"/>
  <c r="F60" i="66"/>
  <c r="L59" i="66"/>
  <c r="F59" i="66"/>
  <c r="L58" i="66"/>
  <c r="F58" i="66"/>
  <c r="L57" i="66"/>
  <c r="L60" i="66" s="1"/>
  <c r="F57" i="66"/>
  <c r="F62" i="66" s="1"/>
  <c r="D54" i="66"/>
  <c r="C54" i="66"/>
  <c r="F53" i="66"/>
  <c r="F52" i="66"/>
  <c r="J51" i="66"/>
  <c r="I51" i="66"/>
  <c r="F51" i="66"/>
  <c r="L50" i="66"/>
  <c r="F50" i="66"/>
  <c r="L49" i="66"/>
  <c r="F49" i="66"/>
  <c r="L48" i="66"/>
  <c r="F48" i="66"/>
  <c r="L47" i="66"/>
  <c r="F47" i="66"/>
  <c r="L46" i="66"/>
  <c r="F46" i="66"/>
  <c r="L45" i="66"/>
  <c r="F45" i="66"/>
  <c r="L44" i="66"/>
  <c r="L51" i="66" s="1"/>
  <c r="F44" i="66"/>
  <c r="F54" i="66" s="1"/>
  <c r="F41" i="66"/>
  <c r="D41" i="66"/>
  <c r="C41" i="66"/>
  <c r="J40" i="66"/>
  <c r="I40" i="66"/>
  <c r="F40" i="66"/>
  <c r="L39" i="66"/>
  <c r="F39" i="66"/>
  <c r="L38" i="66"/>
  <c r="F38" i="66"/>
  <c r="L37" i="66"/>
  <c r="F37" i="66"/>
  <c r="L36" i="66"/>
  <c r="L40" i="66" s="1"/>
  <c r="F36" i="66"/>
  <c r="J33" i="66"/>
  <c r="I33" i="66"/>
  <c r="D33" i="66"/>
  <c r="C33" i="66"/>
  <c r="L32" i="66"/>
  <c r="F32" i="66"/>
  <c r="L31" i="66"/>
  <c r="F31" i="66"/>
  <c r="L30" i="66"/>
  <c r="F30" i="66"/>
  <c r="L29" i="66"/>
  <c r="F29" i="66"/>
  <c r="L28" i="66"/>
  <c r="L33" i="66" s="1"/>
  <c r="F28" i="66"/>
  <c r="F33" i="66" s="1"/>
  <c r="D25" i="66"/>
  <c r="C25" i="66"/>
  <c r="J24" i="66"/>
  <c r="I24" i="66"/>
  <c r="F24" i="66"/>
  <c r="L23" i="66"/>
  <c r="F23" i="66"/>
  <c r="L22" i="66"/>
  <c r="F22" i="66"/>
  <c r="L21" i="66"/>
  <c r="F21" i="66"/>
  <c r="L20" i="66"/>
  <c r="F20" i="66"/>
  <c r="L19" i="66"/>
  <c r="F19" i="66"/>
  <c r="L18" i="66"/>
  <c r="F18" i="66"/>
  <c r="L17" i="66"/>
  <c r="F17" i="66"/>
  <c r="L16" i="66"/>
  <c r="L24" i="66" s="1"/>
  <c r="F16" i="66"/>
  <c r="F25" i="66" s="1"/>
  <c r="D13" i="66"/>
  <c r="C13" i="66"/>
  <c r="F12" i="66"/>
  <c r="F11" i="66"/>
  <c r="J10" i="66"/>
  <c r="I10" i="66"/>
  <c r="F10" i="66"/>
  <c r="L9" i="66"/>
  <c r="F9" i="66"/>
  <c r="L8" i="66"/>
  <c r="F8" i="66"/>
  <c r="L7" i="66"/>
  <c r="F7" i="66"/>
  <c r="L6" i="66"/>
  <c r="F6" i="66"/>
  <c r="L5" i="66"/>
  <c r="F5" i="66"/>
  <c r="L4" i="66"/>
  <c r="F4" i="66"/>
  <c r="L3" i="66"/>
  <c r="L10" i="66" s="1"/>
  <c r="F3" i="66"/>
  <c r="F13" i="66" s="1"/>
  <c r="D72" i="65"/>
  <c r="C72" i="65"/>
  <c r="F71" i="65"/>
  <c r="F70" i="65"/>
  <c r="F69" i="65"/>
  <c r="F68" i="65"/>
  <c r="F67" i="65"/>
  <c r="F66" i="65"/>
  <c r="F65" i="65"/>
  <c r="F72" i="65" s="1"/>
  <c r="D62" i="65"/>
  <c r="C62" i="65"/>
  <c r="F61" i="65"/>
  <c r="J60" i="65"/>
  <c r="I60" i="65"/>
  <c r="F60" i="65"/>
  <c r="L59" i="65"/>
  <c r="F59" i="65"/>
  <c r="L58" i="65"/>
  <c r="F58" i="65"/>
  <c r="L57" i="65"/>
  <c r="L60" i="65" s="1"/>
  <c r="F57" i="65"/>
  <c r="F62" i="65" s="1"/>
  <c r="D54" i="65"/>
  <c r="C54" i="65"/>
  <c r="F53" i="65"/>
  <c r="F52" i="65"/>
  <c r="J51" i="65"/>
  <c r="I51" i="65"/>
  <c r="F51" i="65"/>
  <c r="L50" i="65"/>
  <c r="F50" i="65"/>
  <c r="L49" i="65"/>
  <c r="F49" i="65"/>
  <c r="L48" i="65"/>
  <c r="F48" i="65"/>
  <c r="L47" i="65"/>
  <c r="F47" i="65"/>
  <c r="L46" i="65"/>
  <c r="F46" i="65"/>
  <c r="L45" i="65"/>
  <c r="F45" i="65"/>
  <c r="L44" i="65"/>
  <c r="L51" i="65" s="1"/>
  <c r="F44" i="65"/>
  <c r="F54" i="65" s="1"/>
  <c r="F41" i="65"/>
  <c r="D41" i="65"/>
  <c r="C41" i="65"/>
  <c r="J40" i="65"/>
  <c r="I40" i="65"/>
  <c r="F40" i="65"/>
  <c r="L39" i="65"/>
  <c r="F39" i="65"/>
  <c r="L38" i="65"/>
  <c r="F38" i="65"/>
  <c r="L37" i="65"/>
  <c r="L40" i="65" s="1"/>
  <c r="F37" i="65"/>
  <c r="L36" i="65"/>
  <c r="F36" i="65"/>
  <c r="J33" i="65"/>
  <c r="I33" i="65"/>
  <c r="D33" i="65"/>
  <c r="C33" i="65"/>
  <c r="L32" i="65"/>
  <c r="F32" i="65"/>
  <c r="L31" i="65"/>
  <c r="F31" i="65"/>
  <c r="L30" i="65"/>
  <c r="F30" i="65"/>
  <c r="L29" i="65"/>
  <c r="L33" i="65" s="1"/>
  <c r="F29" i="65"/>
  <c r="L28" i="65"/>
  <c r="F28" i="65"/>
  <c r="F33" i="65" s="1"/>
  <c r="D25" i="65"/>
  <c r="C25" i="65"/>
  <c r="J24" i="65"/>
  <c r="I24" i="65"/>
  <c r="F24" i="65"/>
  <c r="L23" i="65"/>
  <c r="F23" i="65"/>
  <c r="L22" i="65"/>
  <c r="F22" i="65"/>
  <c r="L21" i="65"/>
  <c r="F21" i="65"/>
  <c r="L20" i="65"/>
  <c r="F20" i="65"/>
  <c r="L19" i="65"/>
  <c r="F19" i="65"/>
  <c r="L18" i="65"/>
  <c r="F18" i="65"/>
  <c r="L17" i="65"/>
  <c r="F17" i="65"/>
  <c r="F25" i="65" s="1"/>
  <c r="L16" i="65"/>
  <c r="L24" i="65" s="1"/>
  <c r="F16" i="65"/>
  <c r="D13" i="65"/>
  <c r="C13" i="65"/>
  <c r="F12" i="65"/>
  <c r="F11" i="65"/>
  <c r="J10" i="65"/>
  <c r="I10" i="65"/>
  <c r="F10" i="65"/>
  <c r="L9" i="65"/>
  <c r="F9" i="65"/>
  <c r="L8" i="65"/>
  <c r="F8" i="65"/>
  <c r="L7" i="65"/>
  <c r="F7" i="65"/>
  <c r="L6" i="65"/>
  <c r="F6" i="65"/>
  <c r="L5" i="65"/>
  <c r="F5" i="65"/>
  <c r="L4" i="65"/>
  <c r="F4" i="65"/>
  <c r="L3" i="65"/>
  <c r="L10" i="65" s="1"/>
  <c r="F3" i="65"/>
  <c r="F13" i="65" s="1"/>
  <c r="D72" i="64"/>
  <c r="C72" i="64"/>
  <c r="F71" i="64"/>
  <c r="F70" i="64"/>
  <c r="F69" i="64"/>
  <c r="F68" i="64"/>
  <c r="F67" i="64"/>
  <c r="F66" i="64"/>
  <c r="F65" i="64"/>
  <c r="F72" i="64" s="1"/>
  <c r="D62" i="64"/>
  <c r="C62" i="64"/>
  <c r="F61" i="64"/>
  <c r="J60" i="64"/>
  <c r="I60" i="64"/>
  <c r="F60" i="64"/>
  <c r="L59" i="64"/>
  <c r="F59" i="64"/>
  <c r="L58" i="64"/>
  <c r="F58" i="64"/>
  <c r="L57" i="64"/>
  <c r="L60" i="64" s="1"/>
  <c r="F57" i="64"/>
  <c r="F62" i="64" s="1"/>
  <c r="D54" i="64"/>
  <c r="C54" i="64"/>
  <c r="F53" i="64"/>
  <c r="F52" i="64"/>
  <c r="J51" i="64"/>
  <c r="I51" i="64"/>
  <c r="F51" i="64"/>
  <c r="L50" i="64"/>
  <c r="F50" i="64"/>
  <c r="L49" i="64"/>
  <c r="F49" i="64"/>
  <c r="L48" i="64"/>
  <c r="F48" i="64"/>
  <c r="L47" i="64"/>
  <c r="F47" i="64"/>
  <c r="L46" i="64"/>
  <c r="F46" i="64"/>
  <c r="L45" i="64"/>
  <c r="F45" i="64"/>
  <c r="L44" i="64"/>
  <c r="L51" i="64" s="1"/>
  <c r="F44" i="64"/>
  <c r="F54" i="64" s="1"/>
  <c r="F41" i="64"/>
  <c r="D41" i="64"/>
  <c r="C41" i="64"/>
  <c r="J40" i="64"/>
  <c r="I40" i="64"/>
  <c r="F40" i="64"/>
  <c r="L39" i="64"/>
  <c r="F39" i="64"/>
  <c r="L38" i="64"/>
  <c r="F38" i="64"/>
  <c r="L37" i="64"/>
  <c r="L40" i="64" s="1"/>
  <c r="F37" i="64"/>
  <c r="L36" i="64"/>
  <c r="F36" i="64"/>
  <c r="J33" i="64"/>
  <c r="I33" i="64"/>
  <c r="D33" i="64"/>
  <c r="C33" i="64"/>
  <c r="L32" i="64"/>
  <c r="F32" i="64"/>
  <c r="L31" i="64"/>
  <c r="L33" i="64" s="1"/>
  <c r="F31" i="64"/>
  <c r="L30" i="64"/>
  <c r="F30" i="64"/>
  <c r="L29" i="64"/>
  <c r="F29" i="64"/>
  <c r="L28" i="64"/>
  <c r="F28" i="64"/>
  <c r="F33" i="64" s="1"/>
  <c r="D25" i="64"/>
  <c r="C25" i="64"/>
  <c r="J24" i="64"/>
  <c r="I24" i="64"/>
  <c r="F24" i="64"/>
  <c r="L23" i="64"/>
  <c r="F23" i="64"/>
  <c r="L22" i="64"/>
  <c r="F22" i="64"/>
  <c r="L21" i="64"/>
  <c r="F21" i="64"/>
  <c r="L20" i="64"/>
  <c r="F20" i="64"/>
  <c r="L19" i="64"/>
  <c r="F19" i="64"/>
  <c r="F25" i="64" s="1"/>
  <c r="L18" i="64"/>
  <c r="F18" i="64"/>
  <c r="L17" i="64"/>
  <c r="F17" i="64"/>
  <c r="L16" i="64"/>
  <c r="L24" i="64" s="1"/>
  <c r="F16" i="64"/>
  <c r="D13" i="64"/>
  <c r="C13" i="64"/>
  <c r="F12" i="64"/>
  <c r="F11" i="64"/>
  <c r="J10" i="64"/>
  <c r="I10" i="64"/>
  <c r="F10" i="64"/>
  <c r="L9" i="64"/>
  <c r="F9" i="64"/>
  <c r="L8" i="64"/>
  <c r="F8" i="64"/>
  <c r="L7" i="64"/>
  <c r="F7" i="64"/>
  <c r="L6" i="64"/>
  <c r="F6" i="64"/>
  <c r="L5" i="64"/>
  <c r="F5" i="64"/>
  <c r="L4" i="64"/>
  <c r="F4" i="64"/>
  <c r="L3" i="64"/>
  <c r="L10" i="64" s="1"/>
  <c r="F3" i="64"/>
  <c r="F13" i="64" s="1"/>
  <c r="D72" i="63"/>
  <c r="C72" i="63"/>
  <c r="F71" i="63"/>
  <c r="F70" i="63"/>
  <c r="F69" i="63"/>
  <c r="F68" i="63"/>
  <c r="F67" i="63"/>
  <c r="F66" i="63"/>
  <c r="F65" i="63"/>
  <c r="F72" i="63" s="1"/>
  <c r="D62" i="63"/>
  <c r="C62" i="63"/>
  <c r="F61" i="63"/>
  <c r="L60" i="63"/>
  <c r="J60" i="63"/>
  <c r="I60" i="63"/>
  <c r="F60" i="63"/>
  <c r="L59" i="63"/>
  <c r="F59" i="63"/>
  <c r="L58" i="63"/>
  <c r="F58" i="63"/>
  <c r="L57" i="63"/>
  <c r="F57" i="63"/>
  <c r="F62" i="63" s="1"/>
  <c r="D54" i="63"/>
  <c r="C54" i="63"/>
  <c r="F53" i="63"/>
  <c r="F52" i="63"/>
  <c r="J51" i="63"/>
  <c r="I51" i="63"/>
  <c r="F51" i="63"/>
  <c r="L50" i="63"/>
  <c r="F50" i="63"/>
  <c r="L49" i="63"/>
  <c r="F49" i="63"/>
  <c r="L48" i="63"/>
  <c r="F48" i="63"/>
  <c r="L47" i="63"/>
  <c r="F47" i="63"/>
  <c r="L46" i="63"/>
  <c r="F46" i="63"/>
  <c r="L45" i="63"/>
  <c r="F45" i="63"/>
  <c r="L44" i="63"/>
  <c r="L51" i="63" s="1"/>
  <c r="F44" i="63"/>
  <c r="F54" i="63" s="1"/>
  <c r="F41" i="63"/>
  <c r="D41" i="63"/>
  <c r="C41" i="63"/>
  <c r="L40" i="63"/>
  <c r="J40" i="63"/>
  <c r="I40" i="63"/>
  <c r="F40" i="63"/>
  <c r="L39" i="63"/>
  <c r="F39" i="63"/>
  <c r="L38" i="63"/>
  <c r="F38" i="63"/>
  <c r="L37" i="63"/>
  <c r="F37" i="63"/>
  <c r="L36" i="63"/>
  <c r="F36" i="63"/>
  <c r="J33" i="63"/>
  <c r="I33" i="63"/>
  <c r="D33" i="63"/>
  <c r="C33" i="63"/>
  <c r="L32" i="63"/>
  <c r="F32" i="63"/>
  <c r="L31" i="63"/>
  <c r="F31" i="63"/>
  <c r="L30" i="63"/>
  <c r="F30" i="63"/>
  <c r="F33" i="63" s="1"/>
  <c r="L29" i="63"/>
  <c r="L33" i="63" s="1"/>
  <c r="F29" i="63"/>
  <c r="L28" i="63"/>
  <c r="F28" i="63"/>
  <c r="D25" i="63"/>
  <c r="C25" i="63"/>
  <c r="J24" i="63"/>
  <c r="I24" i="63"/>
  <c r="F24" i="63"/>
  <c r="L23" i="63"/>
  <c r="F23" i="63"/>
  <c r="L22" i="63"/>
  <c r="F22" i="63"/>
  <c r="L21" i="63"/>
  <c r="F21" i="63"/>
  <c r="L20" i="63"/>
  <c r="F20" i="63"/>
  <c r="L19" i="63"/>
  <c r="F19" i="63"/>
  <c r="L18" i="63"/>
  <c r="F18" i="63"/>
  <c r="L17" i="63"/>
  <c r="L24" i="63" s="1"/>
  <c r="F17" i="63"/>
  <c r="F25" i="63" s="1"/>
  <c r="L16" i="63"/>
  <c r="F16" i="63"/>
  <c r="D13" i="63"/>
  <c r="C13" i="63"/>
  <c r="F12" i="63"/>
  <c r="F11" i="63"/>
  <c r="J10" i="63"/>
  <c r="I10" i="63"/>
  <c r="F10" i="63"/>
  <c r="L9" i="63"/>
  <c r="F9" i="63"/>
  <c r="L8" i="63"/>
  <c r="F8" i="63"/>
  <c r="L7" i="63"/>
  <c r="F7" i="63"/>
  <c r="L6" i="63"/>
  <c r="F6" i="63"/>
  <c r="L5" i="63"/>
  <c r="F5" i="63"/>
  <c r="L4" i="63"/>
  <c r="F4" i="63"/>
  <c r="L3" i="63"/>
  <c r="L10" i="63" s="1"/>
  <c r="F3" i="63"/>
  <c r="F13" i="63" s="1"/>
  <c r="D72" i="62"/>
  <c r="C72" i="62"/>
  <c r="F71" i="62"/>
  <c r="F70" i="62"/>
  <c r="F69" i="62"/>
  <c r="F68" i="62"/>
  <c r="F67" i="62"/>
  <c r="F66" i="62"/>
  <c r="F65" i="62"/>
  <c r="F72" i="62" s="1"/>
  <c r="D62" i="62"/>
  <c r="C62" i="62"/>
  <c r="F61" i="62"/>
  <c r="L60" i="62"/>
  <c r="J60" i="62"/>
  <c r="I60" i="62"/>
  <c r="F60" i="62"/>
  <c r="L59" i="62"/>
  <c r="F59" i="62"/>
  <c r="L58" i="62"/>
  <c r="F58" i="62"/>
  <c r="L57" i="62"/>
  <c r="F57" i="62"/>
  <c r="F62" i="62" s="1"/>
  <c r="D54" i="62"/>
  <c r="C54" i="62"/>
  <c r="F53" i="62"/>
  <c r="F52" i="62"/>
  <c r="J51" i="62"/>
  <c r="I51" i="62"/>
  <c r="F51" i="62"/>
  <c r="L50" i="62"/>
  <c r="F50" i="62"/>
  <c r="L49" i="62"/>
  <c r="F49" i="62"/>
  <c r="L48" i="62"/>
  <c r="F48" i="62"/>
  <c r="L47" i="62"/>
  <c r="F47" i="62"/>
  <c r="L46" i="62"/>
  <c r="F46" i="62"/>
  <c r="L45" i="62"/>
  <c r="F45" i="62"/>
  <c r="L44" i="62"/>
  <c r="L51" i="62" s="1"/>
  <c r="F44" i="62"/>
  <c r="F54" i="62" s="1"/>
  <c r="D41" i="62"/>
  <c r="C41" i="62"/>
  <c r="J40" i="62"/>
  <c r="I40" i="62"/>
  <c r="F40" i="62"/>
  <c r="L39" i="62"/>
  <c r="F39" i="62"/>
  <c r="F41" i="62" s="1"/>
  <c r="L38" i="62"/>
  <c r="F38" i="62"/>
  <c r="L37" i="62"/>
  <c r="F37" i="62"/>
  <c r="L36" i="62"/>
  <c r="L40" i="62" s="1"/>
  <c r="F36" i="62"/>
  <c r="L33" i="62"/>
  <c r="J33" i="62"/>
  <c r="I33" i="62"/>
  <c r="D33" i="62"/>
  <c r="C33" i="62"/>
  <c r="L32" i="62"/>
  <c r="F32" i="62"/>
  <c r="L31" i="62"/>
  <c r="F31" i="62"/>
  <c r="L30" i="62"/>
  <c r="F30" i="62"/>
  <c r="L29" i="62"/>
  <c r="F29" i="62"/>
  <c r="L28" i="62"/>
  <c r="F28" i="62"/>
  <c r="F33" i="62" s="1"/>
  <c r="F25" i="62"/>
  <c r="D25" i="62"/>
  <c r="C25" i="62"/>
  <c r="J24" i="62"/>
  <c r="I24" i="62"/>
  <c r="F24" i="62"/>
  <c r="L23" i="62"/>
  <c r="F23" i="62"/>
  <c r="L22" i="62"/>
  <c r="F22" i="62"/>
  <c r="L21" i="62"/>
  <c r="F21" i="62"/>
  <c r="L20" i="62"/>
  <c r="F20" i="62"/>
  <c r="L19" i="62"/>
  <c r="F19" i="62"/>
  <c r="L18" i="62"/>
  <c r="F18" i="62"/>
  <c r="L17" i="62"/>
  <c r="F17" i="62"/>
  <c r="L16" i="62"/>
  <c r="L24" i="62" s="1"/>
  <c r="F16" i="62"/>
  <c r="D13" i="62"/>
  <c r="C13" i="62"/>
  <c r="F12" i="62"/>
  <c r="F11" i="62"/>
  <c r="J10" i="62"/>
  <c r="I10" i="62"/>
  <c r="F10" i="62"/>
  <c r="L9" i="62"/>
  <c r="F9" i="62"/>
  <c r="L8" i="62"/>
  <c r="F8" i="62"/>
  <c r="L7" i="62"/>
  <c r="F7" i="62"/>
  <c r="L6" i="62"/>
  <c r="F6" i="62"/>
  <c r="L5" i="62"/>
  <c r="F5" i="62"/>
  <c r="L4" i="62"/>
  <c r="F4" i="62"/>
  <c r="L3" i="62"/>
  <c r="L10" i="62" s="1"/>
  <c r="F3" i="62"/>
  <c r="F13" i="62" s="1"/>
  <c r="D72" i="61"/>
  <c r="C72" i="61"/>
  <c r="F71" i="61"/>
  <c r="F70" i="61"/>
  <c r="F69" i="61"/>
  <c r="F68" i="61"/>
  <c r="F67" i="61"/>
  <c r="F66" i="61"/>
  <c r="F65" i="61"/>
  <c r="F72" i="61" s="1"/>
  <c r="F62" i="61"/>
  <c r="D62" i="61"/>
  <c r="C62" i="61"/>
  <c r="F61" i="61"/>
  <c r="J60" i="61"/>
  <c r="I60" i="61"/>
  <c r="F60" i="61"/>
  <c r="L59" i="61"/>
  <c r="F59" i="61"/>
  <c r="L58" i="61"/>
  <c r="F58" i="61"/>
  <c r="L57" i="61"/>
  <c r="L60" i="61" s="1"/>
  <c r="F57" i="61"/>
  <c r="D54" i="61"/>
  <c r="C54" i="61"/>
  <c r="F53" i="61"/>
  <c r="F52" i="61"/>
  <c r="J51" i="61"/>
  <c r="I51" i="61"/>
  <c r="F51" i="61"/>
  <c r="L50" i="61"/>
  <c r="F50" i="61"/>
  <c r="L49" i="61"/>
  <c r="F49" i="61"/>
  <c r="L48" i="61"/>
  <c r="F48" i="61"/>
  <c r="L47" i="61"/>
  <c r="F47" i="61"/>
  <c r="L46" i="61"/>
  <c r="F46" i="61"/>
  <c r="L45" i="61"/>
  <c r="F45" i="61"/>
  <c r="L44" i="61"/>
  <c r="L51" i="61" s="1"/>
  <c r="F44" i="61"/>
  <c r="F54" i="61" s="1"/>
  <c r="D41" i="61"/>
  <c r="C41" i="61"/>
  <c r="J40" i="61"/>
  <c r="I40" i="61"/>
  <c r="F40" i="61"/>
  <c r="L39" i="61"/>
  <c r="F39" i="61"/>
  <c r="L38" i="61"/>
  <c r="F38" i="61"/>
  <c r="L37" i="61"/>
  <c r="L40" i="61" s="1"/>
  <c r="F37" i="61"/>
  <c r="L36" i="61"/>
  <c r="F36" i="61"/>
  <c r="F41" i="61" s="1"/>
  <c r="L33" i="61"/>
  <c r="J33" i="61"/>
  <c r="I33" i="61"/>
  <c r="D33" i="61"/>
  <c r="C33" i="61"/>
  <c r="L32" i="61"/>
  <c r="F32" i="61"/>
  <c r="L31" i="61"/>
  <c r="F31" i="61"/>
  <c r="L30" i="61"/>
  <c r="F30" i="61"/>
  <c r="L29" i="61"/>
  <c r="F29" i="61"/>
  <c r="L28" i="61"/>
  <c r="F28" i="61"/>
  <c r="F33" i="61" s="1"/>
  <c r="F25" i="61"/>
  <c r="D25" i="61"/>
  <c r="C25" i="61"/>
  <c r="J24" i="61"/>
  <c r="I24" i="61"/>
  <c r="F24" i="61"/>
  <c r="L23" i="61"/>
  <c r="F23" i="61"/>
  <c r="L22" i="61"/>
  <c r="F22" i="61"/>
  <c r="L21" i="61"/>
  <c r="F21" i="61"/>
  <c r="L20" i="61"/>
  <c r="F20" i="61"/>
  <c r="L19" i="61"/>
  <c r="F19" i="61"/>
  <c r="L18" i="61"/>
  <c r="F18" i="61"/>
  <c r="L17" i="61"/>
  <c r="F17" i="61"/>
  <c r="L16" i="61"/>
  <c r="L24" i="61" s="1"/>
  <c r="F16" i="61"/>
  <c r="D13" i="61"/>
  <c r="C13" i="61"/>
  <c r="F12" i="61"/>
  <c r="F11" i="61"/>
  <c r="J10" i="61"/>
  <c r="I10" i="61"/>
  <c r="F10" i="61"/>
  <c r="L9" i="61"/>
  <c r="F9" i="61"/>
  <c r="L8" i="61"/>
  <c r="F8" i="61"/>
  <c r="L7" i="61"/>
  <c r="F7" i="61"/>
  <c r="L6" i="61"/>
  <c r="F6" i="61"/>
  <c r="L5" i="61"/>
  <c r="F5" i="61"/>
  <c r="L4" i="61"/>
  <c r="F4" i="61"/>
  <c r="L3" i="61"/>
  <c r="L10" i="61" s="1"/>
  <c r="F3" i="61"/>
  <c r="F13" i="61" s="1"/>
  <c r="D72" i="60"/>
  <c r="C72" i="60"/>
  <c r="F71" i="60"/>
  <c r="F70" i="60"/>
  <c r="F69" i="60"/>
  <c r="F68" i="60"/>
  <c r="F67" i="60"/>
  <c r="F66" i="60"/>
  <c r="F65" i="60"/>
  <c r="F72" i="60" s="1"/>
  <c r="D62" i="60"/>
  <c r="C62" i="60"/>
  <c r="F61" i="60"/>
  <c r="J60" i="60"/>
  <c r="I60" i="60"/>
  <c r="F60" i="60"/>
  <c r="L59" i="60"/>
  <c r="F59" i="60"/>
  <c r="L58" i="60"/>
  <c r="F58" i="60"/>
  <c r="L57" i="60"/>
  <c r="L60" i="60" s="1"/>
  <c r="F57" i="60"/>
  <c r="F62" i="60" s="1"/>
  <c r="D54" i="60"/>
  <c r="C54" i="60"/>
  <c r="F53" i="60"/>
  <c r="F52" i="60"/>
  <c r="J51" i="60"/>
  <c r="I51" i="60"/>
  <c r="F51" i="60"/>
  <c r="L50" i="60"/>
  <c r="F50" i="60"/>
  <c r="L49" i="60"/>
  <c r="F49" i="60"/>
  <c r="L48" i="60"/>
  <c r="F48" i="60"/>
  <c r="L47" i="60"/>
  <c r="F47" i="60"/>
  <c r="L46" i="60"/>
  <c r="F46" i="60"/>
  <c r="L45" i="60"/>
  <c r="F45" i="60"/>
  <c r="L44" i="60"/>
  <c r="L51" i="60" s="1"/>
  <c r="F44" i="60"/>
  <c r="F54" i="60" s="1"/>
  <c r="D41" i="60"/>
  <c r="C41" i="60"/>
  <c r="J40" i="60"/>
  <c r="I40" i="60"/>
  <c r="F40" i="60"/>
  <c r="L39" i="60"/>
  <c r="F39" i="60"/>
  <c r="L38" i="60"/>
  <c r="F38" i="60"/>
  <c r="F41" i="60" s="1"/>
  <c r="L37" i="60"/>
  <c r="L40" i="60" s="1"/>
  <c r="F37" i="60"/>
  <c r="L36" i="60"/>
  <c r="F36" i="60"/>
  <c r="J33" i="60"/>
  <c r="I33" i="60"/>
  <c r="D33" i="60"/>
  <c r="C33" i="60"/>
  <c r="L32" i="60"/>
  <c r="F32" i="60"/>
  <c r="L31" i="60"/>
  <c r="F31" i="60"/>
  <c r="L30" i="60"/>
  <c r="F30" i="60"/>
  <c r="F33" i="60" s="1"/>
  <c r="L29" i="60"/>
  <c r="F29" i="60"/>
  <c r="L28" i="60"/>
  <c r="L33" i="60" s="1"/>
  <c r="F28" i="60"/>
  <c r="D25" i="60"/>
  <c r="C25" i="60"/>
  <c r="L24" i="60"/>
  <c r="J24" i="60"/>
  <c r="I24" i="60"/>
  <c r="F24" i="60"/>
  <c r="L23" i="60"/>
  <c r="F23" i="60"/>
  <c r="L22" i="60"/>
  <c r="F22" i="60"/>
  <c r="L21" i="60"/>
  <c r="F21" i="60"/>
  <c r="L20" i="60"/>
  <c r="F20" i="60"/>
  <c r="L19" i="60"/>
  <c r="F19" i="60"/>
  <c r="L18" i="60"/>
  <c r="F18" i="60"/>
  <c r="L17" i="60"/>
  <c r="F17" i="60"/>
  <c r="L16" i="60"/>
  <c r="F16" i="60"/>
  <c r="F25" i="60" s="1"/>
  <c r="D13" i="60"/>
  <c r="C13" i="60"/>
  <c r="F12" i="60"/>
  <c r="F11" i="60"/>
  <c r="J10" i="60"/>
  <c r="I10" i="60"/>
  <c r="F10" i="60"/>
  <c r="L9" i="60"/>
  <c r="F9" i="60"/>
  <c r="L8" i="60"/>
  <c r="F8" i="60"/>
  <c r="L7" i="60"/>
  <c r="F7" i="60"/>
  <c r="L6" i="60"/>
  <c r="F6" i="60"/>
  <c r="L5" i="60"/>
  <c r="F5" i="60"/>
  <c r="L4" i="60"/>
  <c r="F4" i="60"/>
  <c r="L3" i="60"/>
  <c r="L10" i="60" s="1"/>
  <c r="F3" i="60"/>
  <c r="F13" i="60" s="1"/>
  <c r="F72" i="59"/>
  <c r="D72" i="59"/>
  <c r="C72" i="59"/>
  <c r="F71" i="59"/>
  <c r="F70" i="59"/>
  <c r="F69" i="59"/>
  <c r="F68" i="59"/>
  <c r="F67" i="59"/>
  <c r="F66" i="59"/>
  <c r="F65" i="59"/>
  <c r="D62" i="59"/>
  <c r="C62" i="59"/>
  <c r="F61" i="59"/>
  <c r="J60" i="59"/>
  <c r="I60" i="59"/>
  <c r="F60" i="59"/>
  <c r="L59" i="59"/>
  <c r="F59" i="59"/>
  <c r="L58" i="59"/>
  <c r="F58" i="59"/>
  <c r="L57" i="59"/>
  <c r="L60" i="59" s="1"/>
  <c r="F57" i="59"/>
  <c r="F62" i="59" s="1"/>
  <c r="F54" i="59"/>
  <c r="D54" i="59"/>
  <c r="C54" i="59"/>
  <c r="F53" i="59"/>
  <c r="F52" i="59"/>
  <c r="J51" i="59"/>
  <c r="I51" i="59"/>
  <c r="F51" i="59"/>
  <c r="L50" i="59"/>
  <c r="F50" i="59"/>
  <c r="L49" i="59"/>
  <c r="F49" i="59"/>
  <c r="L48" i="59"/>
  <c r="F48" i="59"/>
  <c r="L47" i="59"/>
  <c r="F47" i="59"/>
  <c r="L46" i="59"/>
  <c r="F46" i="59"/>
  <c r="L45" i="59"/>
  <c r="F45" i="59"/>
  <c r="L44" i="59"/>
  <c r="L51" i="59" s="1"/>
  <c r="F44" i="59"/>
  <c r="D41" i="59"/>
  <c r="C41" i="59"/>
  <c r="J40" i="59"/>
  <c r="I40" i="59"/>
  <c r="F40" i="59"/>
  <c r="L39" i="59"/>
  <c r="F39" i="59"/>
  <c r="F41" i="59" s="1"/>
  <c r="L38" i="59"/>
  <c r="F38" i="59"/>
  <c r="L37" i="59"/>
  <c r="L40" i="59" s="1"/>
  <c r="F37" i="59"/>
  <c r="L36" i="59"/>
  <c r="F36" i="59"/>
  <c r="J33" i="59"/>
  <c r="I33" i="59"/>
  <c r="D33" i="59"/>
  <c r="C33" i="59"/>
  <c r="L32" i="59"/>
  <c r="F32" i="59"/>
  <c r="L31" i="59"/>
  <c r="F31" i="59"/>
  <c r="L30" i="59"/>
  <c r="L33" i="59" s="1"/>
  <c r="F30" i="59"/>
  <c r="F33" i="59" s="1"/>
  <c r="L29" i="59"/>
  <c r="F29" i="59"/>
  <c r="L28" i="59"/>
  <c r="F28" i="59"/>
  <c r="D25" i="59"/>
  <c r="C25" i="59"/>
  <c r="J24" i="59"/>
  <c r="I24" i="59"/>
  <c r="F24" i="59"/>
  <c r="L23" i="59"/>
  <c r="F23" i="59"/>
  <c r="L22" i="59"/>
  <c r="F22" i="59"/>
  <c r="L21" i="59"/>
  <c r="F21" i="59"/>
  <c r="L20" i="59"/>
  <c r="F20" i="59"/>
  <c r="L19" i="59"/>
  <c r="F19" i="59"/>
  <c r="L18" i="59"/>
  <c r="F18" i="59"/>
  <c r="F25" i="59" s="1"/>
  <c r="L17" i="59"/>
  <c r="L24" i="59" s="1"/>
  <c r="F17" i="59"/>
  <c r="L16" i="59"/>
  <c r="F16" i="59"/>
  <c r="D13" i="59"/>
  <c r="C13" i="59"/>
  <c r="F12" i="59"/>
  <c r="F11" i="59"/>
  <c r="J10" i="59"/>
  <c r="I10" i="59"/>
  <c r="F10" i="59"/>
  <c r="L9" i="59"/>
  <c r="F9" i="59"/>
  <c r="L8" i="59"/>
  <c r="F8" i="59"/>
  <c r="L7" i="59"/>
  <c r="F7" i="59"/>
  <c r="L6" i="59"/>
  <c r="F6" i="59"/>
  <c r="L5" i="59"/>
  <c r="F5" i="59"/>
  <c r="L4" i="59"/>
  <c r="F4" i="59"/>
  <c r="L3" i="59"/>
  <c r="L10" i="59" s="1"/>
  <c r="F3" i="59"/>
  <c r="F13" i="59" s="1"/>
  <c r="D72" i="58"/>
  <c r="C72" i="58"/>
  <c r="F71" i="58"/>
  <c r="F70" i="58"/>
  <c r="F69" i="58"/>
  <c r="F68" i="58"/>
  <c r="F67" i="58"/>
  <c r="F66" i="58"/>
  <c r="F65" i="58"/>
  <c r="F72" i="58" s="1"/>
  <c r="D62" i="58"/>
  <c r="C62" i="58"/>
  <c r="F61" i="58"/>
  <c r="L60" i="58"/>
  <c r="J60" i="58"/>
  <c r="I60" i="58"/>
  <c r="F60" i="58"/>
  <c r="L59" i="58"/>
  <c r="F59" i="58"/>
  <c r="L58" i="58"/>
  <c r="F58" i="58"/>
  <c r="L57" i="58"/>
  <c r="F57" i="58"/>
  <c r="F62" i="58" s="1"/>
  <c r="D54" i="58"/>
  <c r="C54" i="58"/>
  <c r="F53" i="58"/>
  <c r="F52" i="58"/>
  <c r="J51" i="58"/>
  <c r="I51" i="58"/>
  <c r="F51" i="58"/>
  <c r="L50" i="58"/>
  <c r="F50" i="58"/>
  <c r="L49" i="58"/>
  <c r="F49" i="58"/>
  <c r="L48" i="58"/>
  <c r="F48" i="58"/>
  <c r="L47" i="58"/>
  <c r="F47" i="58"/>
  <c r="L46" i="58"/>
  <c r="F46" i="58"/>
  <c r="L45" i="58"/>
  <c r="F45" i="58"/>
  <c r="L44" i="58"/>
  <c r="L51" i="58" s="1"/>
  <c r="F44" i="58"/>
  <c r="F54" i="58" s="1"/>
  <c r="F41" i="58"/>
  <c r="D41" i="58"/>
  <c r="C41" i="58"/>
  <c r="J40" i="58"/>
  <c r="I40" i="58"/>
  <c r="F40" i="58"/>
  <c r="L39" i="58"/>
  <c r="F39" i="58"/>
  <c r="L38" i="58"/>
  <c r="F38" i="58"/>
  <c r="L37" i="58"/>
  <c r="L40" i="58" s="1"/>
  <c r="F37" i="58"/>
  <c r="L36" i="58"/>
  <c r="F36" i="58"/>
  <c r="L33" i="58"/>
  <c r="J33" i="58"/>
  <c r="I33" i="58"/>
  <c r="D33" i="58"/>
  <c r="C33" i="58"/>
  <c r="L32" i="58"/>
  <c r="F32" i="58"/>
  <c r="L31" i="58"/>
  <c r="F31" i="58"/>
  <c r="L30" i="58"/>
  <c r="F30" i="58"/>
  <c r="L29" i="58"/>
  <c r="F29" i="58"/>
  <c r="L28" i="58"/>
  <c r="F28" i="58"/>
  <c r="F33" i="58" s="1"/>
  <c r="D25" i="58"/>
  <c r="C25" i="58"/>
  <c r="J24" i="58"/>
  <c r="I24" i="58"/>
  <c r="F24" i="58"/>
  <c r="L23" i="58"/>
  <c r="F23" i="58"/>
  <c r="L22" i="58"/>
  <c r="F22" i="58"/>
  <c r="L21" i="58"/>
  <c r="F21" i="58"/>
  <c r="L20" i="58"/>
  <c r="F20" i="58"/>
  <c r="L19" i="58"/>
  <c r="F19" i="58"/>
  <c r="F25" i="58" s="1"/>
  <c r="L18" i="58"/>
  <c r="F18" i="58"/>
  <c r="L17" i="58"/>
  <c r="F17" i="58"/>
  <c r="L16" i="58"/>
  <c r="L24" i="58" s="1"/>
  <c r="F16" i="58"/>
  <c r="D13" i="58"/>
  <c r="C13" i="58"/>
  <c r="F12" i="58"/>
  <c r="F11" i="58"/>
  <c r="J10" i="58"/>
  <c r="I10" i="58"/>
  <c r="F10" i="58"/>
  <c r="L9" i="58"/>
  <c r="F9" i="58"/>
  <c r="L8" i="58"/>
  <c r="F8" i="58"/>
  <c r="L7" i="58"/>
  <c r="F7" i="58"/>
  <c r="L6" i="58"/>
  <c r="F6" i="58"/>
  <c r="L5" i="58"/>
  <c r="F5" i="58"/>
  <c r="L4" i="58"/>
  <c r="F4" i="58"/>
  <c r="L3" i="58"/>
  <c r="L10" i="58" s="1"/>
  <c r="F3" i="58"/>
  <c r="F13" i="58" s="1"/>
  <c r="D72" i="57"/>
  <c r="C72" i="57"/>
  <c r="F71" i="57"/>
  <c r="F70" i="57"/>
  <c r="F69" i="57"/>
  <c r="F68" i="57"/>
  <c r="F67" i="57"/>
  <c r="F66" i="57"/>
  <c r="F65" i="57"/>
  <c r="F72" i="57" s="1"/>
  <c r="D62" i="57"/>
  <c r="C62" i="57"/>
  <c r="F61" i="57"/>
  <c r="J60" i="57"/>
  <c r="I60" i="57"/>
  <c r="F60" i="57"/>
  <c r="L59" i="57"/>
  <c r="F59" i="57"/>
  <c r="L58" i="57"/>
  <c r="F58" i="57"/>
  <c r="L57" i="57"/>
  <c r="L60" i="57" s="1"/>
  <c r="F57" i="57"/>
  <c r="F62" i="57" s="1"/>
  <c r="D54" i="57"/>
  <c r="C54" i="57"/>
  <c r="F53" i="57"/>
  <c r="F52" i="57"/>
  <c r="J51" i="57"/>
  <c r="I51" i="57"/>
  <c r="F51" i="57"/>
  <c r="L50" i="57"/>
  <c r="F50" i="57"/>
  <c r="L49" i="57"/>
  <c r="F49" i="57"/>
  <c r="L48" i="57"/>
  <c r="F48" i="57"/>
  <c r="L47" i="57"/>
  <c r="F47" i="57"/>
  <c r="L46" i="57"/>
  <c r="F46" i="57"/>
  <c r="L45" i="57"/>
  <c r="F45" i="57"/>
  <c r="L44" i="57"/>
  <c r="L51" i="57" s="1"/>
  <c r="F44" i="57"/>
  <c r="F54" i="57" s="1"/>
  <c r="D41" i="57"/>
  <c r="C41" i="57"/>
  <c r="J40" i="57"/>
  <c r="I40" i="57"/>
  <c r="F40" i="57"/>
  <c r="L39" i="57"/>
  <c r="F39" i="57"/>
  <c r="F41" i="57" s="1"/>
  <c r="L38" i="57"/>
  <c r="F38" i="57"/>
  <c r="L37" i="57"/>
  <c r="F37" i="57"/>
  <c r="L36" i="57"/>
  <c r="L40" i="57" s="1"/>
  <c r="F36" i="57"/>
  <c r="L33" i="57"/>
  <c r="J33" i="57"/>
  <c r="I33" i="57"/>
  <c r="D33" i="57"/>
  <c r="C33" i="57"/>
  <c r="L32" i="57"/>
  <c r="F32" i="57"/>
  <c r="L31" i="57"/>
  <c r="F31" i="57"/>
  <c r="L30" i="57"/>
  <c r="F30" i="57"/>
  <c r="L29" i="57"/>
  <c r="F29" i="57"/>
  <c r="L28" i="57"/>
  <c r="F28" i="57"/>
  <c r="F33" i="57" s="1"/>
  <c r="F25" i="57"/>
  <c r="D25" i="57"/>
  <c r="C25" i="57"/>
  <c r="J24" i="57"/>
  <c r="I24" i="57"/>
  <c r="F24" i="57"/>
  <c r="L23" i="57"/>
  <c r="F23" i="57"/>
  <c r="L22" i="57"/>
  <c r="F22" i="57"/>
  <c r="L21" i="57"/>
  <c r="F21" i="57"/>
  <c r="L20" i="57"/>
  <c r="F20" i="57"/>
  <c r="L19" i="57"/>
  <c r="F19" i="57"/>
  <c r="L18" i="57"/>
  <c r="F18" i="57"/>
  <c r="L17" i="57"/>
  <c r="F17" i="57"/>
  <c r="L16" i="57"/>
  <c r="L24" i="57" s="1"/>
  <c r="F16" i="57"/>
  <c r="D13" i="57"/>
  <c r="C13" i="57"/>
  <c r="F12" i="57"/>
  <c r="F11" i="57"/>
  <c r="J10" i="57"/>
  <c r="I10" i="57"/>
  <c r="F10" i="57"/>
  <c r="L9" i="57"/>
  <c r="F9" i="57"/>
  <c r="L8" i="57"/>
  <c r="F8" i="57"/>
  <c r="L7" i="57"/>
  <c r="F7" i="57"/>
  <c r="L6" i="57"/>
  <c r="F6" i="57"/>
  <c r="L5" i="57"/>
  <c r="F5" i="57"/>
  <c r="L4" i="57"/>
  <c r="F4" i="57"/>
  <c r="L3" i="57"/>
  <c r="L10" i="57" s="1"/>
  <c r="F3" i="57"/>
  <c r="F13" i="57" s="1"/>
  <c r="E19" i="56"/>
  <c r="D19" i="56"/>
  <c r="C19" i="56"/>
  <c r="E18" i="56"/>
  <c r="D18" i="56"/>
  <c r="C18" i="56"/>
  <c r="E17" i="56"/>
  <c r="D17" i="56"/>
  <c r="C17" i="56"/>
  <c r="E16" i="56"/>
  <c r="D16" i="56"/>
  <c r="C16" i="56"/>
  <c r="I15" i="56"/>
  <c r="I19" i="56" s="1"/>
  <c r="E15" i="56"/>
  <c r="D15" i="56"/>
  <c r="C15" i="56"/>
  <c r="E14" i="56"/>
  <c r="D14" i="56"/>
  <c r="C14" i="56"/>
  <c r="E13" i="56"/>
  <c r="D13" i="56"/>
  <c r="C13" i="56"/>
  <c r="E12" i="56"/>
  <c r="D12" i="56"/>
  <c r="C12" i="56"/>
  <c r="E11" i="56"/>
  <c r="D11" i="56"/>
  <c r="C11" i="56"/>
  <c r="E10" i="56"/>
  <c r="D10" i="56"/>
  <c r="C10" i="56"/>
  <c r="I9" i="56"/>
  <c r="I18" i="56" s="1"/>
  <c r="E9" i="56"/>
  <c r="D9" i="56"/>
  <c r="C9" i="56"/>
  <c r="E8" i="56"/>
  <c r="D8" i="56"/>
  <c r="C8" i="56"/>
  <c r="E7" i="56"/>
  <c r="D7" i="56"/>
  <c r="C7" i="56"/>
  <c r="E6" i="56"/>
  <c r="D6" i="56"/>
  <c r="C6" i="56"/>
  <c r="E3" i="56"/>
  <c r="E19" i="55"/>
  <c r="D19" i="55"/>
  <c r="C19" i="55"/>
  <c r="E18" i="55"/>
  <c r="D18" i="55"/>
  <c r="C18" i="55"/>
  <c r="E17" i="55"/>
  <c r="D17" i="55"/>
  <c r="C17" i="55"/>
  <c r="E16" i="55"/>
  <c r="D16" i="55"/>
  <c r="C16" i="55"/>
  <c r="I15" i="55"/>
  <c r="I19" i="55" s="1"/>
  <c r="E15" i="55"/>
  <c r="D15" i="55"/>
  <c r="C15" i="55"/>
  <c r="E14" i="55"/>
  <c r="D14" i="55"/>
  <c r="C14" i="55"/>
  <c r="E13" i="55"/>
  <c r="D13" i="55"/>
  <c r="C13" i="55"/>
  <c r="E12" i="55"/>
  <c r="D12" i="55"/>
  <c r="C12" i="55"/>
  <c r="E11" i="55"/>
  <c r="D11" i="55"/>
  <c r="C11" i="55"/>
  <c r="E10" i="55"/>
  <c r="D10" i="55"/>
  <c r="C10" i="55"/>
  <c r="I9" i="55"/>
  <c r="I18" i="55" s="1"/>
  <c r="E9" i="55"/>
  <c r="D9" i="55"/>
  <c r="C9" i="55"/>
  <c r="E8" i="55"/>
  <c r="D8" i="55"/>
  <c r="C8" i="55"/>
  <c r="E7" i="55"/>
  <c r="D7" i="55"/>
  <c r="C7" i="55"/>
  <c r="E6" i="55"/>
  <c r="D6" i="55"/>
  <c r="C6" i="55"/>
  <c r="E3" i="55"/>
  <c r="E19" i="54"/>
  <c r="D19" i="54"/>
  <c r="C19" i="54"/>
  <c r="E18" i="54"/>
  <c r="D18" i="54"/>
  <c r="C18" i="54"/>
  <c r="E17" i="54"/>
  <c r="D17" i="54"/>
  <c r="C17" i="54"/>
  <c r="E16" i="54"/>
  <c r="D16" i="54"/>
  <c r="C16" i="54"/>
  <c r="I15" i="54"/>
  <c r="I19" i="54" s="1"/>
  <c r="E15" i="54"/>
  <c r="D15" i="54"/>
  <c r="C15" i="54"/>
  <c r="E14" i="54"/>
  <c r="D14" i="54"/>
  <c r="C14" i="54"/>
  <c r="E13" i="54"/>
  <c r="D13" i="54"/>
  <c r="C13" i="54"/>
  <c r="E12" i="54"/>
  <c r="D12" i="54"/>
  <c r="C12" i="54"/>
  <c r="E11" i="54"/>
  <c r="D11" i="54"/>
  <c r="C11" i="54"/>
  <c r="E10" i="54"/>
  <c r="D10" i="54"/>
  <c r="C10" i="54"/>
  <c r="I9" i="54"/>
  <c r="I18" i="54" s="1"/>
  <c r="E9" i="54"/>
  <c r="D9" i="54"/>
  <c r="C9" i="54"/>
  <c r="E8" i="54"/>
  <c r="D8" i="54"/>
  <c r="C8" i="54"/>
  <c r="E7" i="54"/>
  <c r="D7" i="54"/>
  <c r="C7" i="54"/>
  <c r="E6" i="54"/>
  <c r="D6" i="54"/>
  <c r="C6" i="54"/>
  <c r="E3" i="54"/>
  <c r="E19" i="53"/>
  <c r="D19" i="53"/>
  <c r="C19" i="53"/>
  <c r="E18" i="53"/>
  <c r="D18" i="53"/>
  <c r="C18" i="53"/>
  <c r="E17" i="53"/>
  <c r="D17" i="53"/>
  <c r="C17" i="53"/>
  <c r="E16" i="53"/>
  <c r="D16" i="53"/>
  <c r="C16" i="53"/>
  <c r="I15" i="53"/>
  <c r="I19" i="53" s="1"/>
  <c r="E15" i="53"/>
  <c r="D15" i="53"/>
  <c r="C15" i="53"/>
  <c r="E14" i="53"/>
  <c r="D14" i="53"/>
  <c r="C14" i="53"/>
  <c r="E13" i="53"/>
  <c r="D13" i="53"/>
  <c r="C13" i="53"/>
  <c r="E12" i="53"/>
  <c r="D12" i="53"/>
  <c r="C12" i="53"/>
  <c r="E11" i="53"/>
  <c r="D11" i="53"/>
  <c r="C11" i="53"/>
  <c r="E10" i="53"/>
  <c r="D10" i="53"/>
  <c r="C10" i="53"/>
  <c r="I9" i="53"/>
  <c r="I18" i="53" s="1"/>
  <c r="E9" i="53"/>
  <c r="D9" i="53"/>
  <c r="C9" i="53"/>
  <c r="E8" i="53"/>
  <c r="D8" i="53"/>
  <c r="C8" i="53"/>
  <c r="E7" i="53"/>
  <c r="D7" i="53"/>
  <c r="C7" i="53"/>
  <c r="E6" i="53"/>
  <c r="D6" i="53"/>
  <c r="C6" i="53"/>
  <c r="E3" i="53"/>
  <c r="E19" i="52"/>
  <c r="D19" i="52"/>
  <c r="C19" i="52"/>
  <c r="E18" i="52"/>
  <c r="D18" i="52"/>
  <c r="C18" i="52"/>
  <c r="E17" i="52"/>
  <c r="D17" i="52"/>
  <c r="C17" i="52"/>
  <c r="E16" i="52"/>
  <c r="D16" i="52"/>
  <c r="C16" i="52"/>
  <c r="I15" i="52"/>
  <c r="I19" i="52" s="1"/>
  <c r="E15" i="52"/>
  <c r="D15" i="52"/>
  <c r="C15" i="52"/>
  <c r="E14" i="52"/>
  <c r="D14" i="52"/>
  <c r="C14" i="52"/>
  <c r="E13" i="52"/>
  <c r="D13" i="52"/>
  <c r="C13" i="52"/>
  <c r="E12" i="52"/>
  <c r="D12" i="52"/>
  <c r="C12" i="52"/>
  <c r="E11" i="52"/>
  <c r="D11" i="52"/>
  <c r="C11" i="52"/>
  <c r="E10" i="52"/>
  <c r="D10" i="52"/>
  <c r="C10" i="52"/>
  <c r="I9" i="52"/>
  <c r="I18" i="52" s="1"/>
  <c r="E9" i="52"/>
  <c r="D9" i="52"/>
  <c r="C9" i="52"/>
  <c r="E8" i="52"/>
  <c r="D8" i="52"/>
  <c r="C8" i="52"/>
  <c r="E7" i="52"/>
  <c r="D7" i="52"/>
  <c r="C7" i="52"/>
  <c r="E6" i="52"/>
  <c r="D6" i="52"/>
  <c r="C6" i="52"/>
  <c r="E3" i="52"/>
  <c r="E19" i="51"/>
  <c r="D19" i="51"/>
  <c r="C19" i="51"/>
  <c r="E18" i="51"/>
  <c r="D18" i="51"/>
  <c r="C18" i="51"/>
  <c r="E17" i="51"/>
  <c r="D17" i="51"/>
  <c r="C17" i="51"/>
  <c r="E16" i="51"/>
  <c r="D16" i="51"/>
  <c r="C16" i="51"/>
  <c r="I15" i="51"/>
  <c r="I19" i="51" s="1"/>
  <c r="E15" i="51"/>
  <c r="D15" i="51"/>
  <c r="C15" i="51"/>
  <c r="E14" i="51"/>
  <c r="D14" i="51"/>
  <c r="C14" i="51"/>
  <c r="E13" i="51"/>
  <c r="D13" i="51"/>
  <c r="C13" i="51"/>
  <c r="E12" i="51"/>
  <c r="D12" i="51"/>
  <c r="C12" i="51"/>
  <c r="E11" i="51"/>
  <c r="D11" i="51"/>
  <c r="C11" i="51"/>
  <c r="E10" i="51"/>
  <c r="D10" i="51"/>
  <c r="C10" i="51"/>
  <c r="I9" i="51"/>
  <c r="I18" i="51" s="1"/>
  <c r="E9" i="51"/>
  <c r="D9" i="51"/>
  <c r="C9" i="51"/>
  <c r="E8" i="51"/>
  <c r="D8" i="51"/>
  <c r="C8" i="51"/>
  <c r="E7" i="51"/>
  <c r="D7" i="51"/>
  <c r="C7" i="51"/>
  <c r="E6" i="51"/>
  <c r="D6" i="51"/>
  <c r="C6" i="51"/>
  <c r="E3" i="51"/>
  <c r="E19" i="50"/>
  <c r="D19" i="50"/>
  <c r="C19" i="50"/>
  <c r="E18" i="50"/>
  <c r="D18" i="50"/>
  <c r="C18" i="50"/>
  <c r="E17" i="50"/>
  <c r="D17" i="50"/>
  <c r="C17" i="50"/>
  <c r="E16" i="50"/>
  <c r="D16" i="50"/>
  <c r="C16" i="50"/>
  <c r="I15" i="50"/>
  <c r="I19" i="50" s="1"/>
  <c r="E15" i="50"/>
  <c r="D15" i="50"/>
  <c r="C15" i="50"/>
  <c r="E14" i="50"/>
  <c r="D14" i="50"/>
  <c r="C14" i="50"/>
  <c r="E13" i="50"/>
  <c r="D13" i="50"/>
  <c r="C13" i="50"/>
  <c r="E12" i="50"/>
  <c r="D12" i="50"/>
  <c r="C12" i="50"/>
  <c r="E11" i="50"/>
  <c r="D11" i="50"/>
  <c r="C11" i="50"/>
  <c r="E10" i="50"/>
  <c r="D10" i="50"/>
  <c r="C10" i="50"/>
  <c r="I9" i="50"/>
  <c r="I18" i="50" s="1"/>
  <c r="E9" i="50"/>
  <c r="D9" i="50"/>
  <c r="C9" i="50"/>
  <c r="E8" i="50"/>
  <c r="D8" i="50"/>
  <c r="C8" i="50"/>
  <c r="E7" i="50"/>
  <c r="D7" i="50"/>
  <c r="C7" i="50"/>
  <c r="E6" i="50"/>
  <c r="D6" i="50"/>
  <c r="C6" i="50"/>
  <c r="E3" i="50"/>
  <c r="E19" i="49"/>
  <c r="D19" i="49"/>
  <c r="C19" i="49"/>
  <c r="E18" i="49"/>
  <c r="D18" i="49"/>
  <c r="C18" i="49"/>
  <c r="E17" i="49"/>
  <c r="D17" i="49"/>
  <c r="C17" i="49"/>
  <c r="E16" i="49"/>
  <c r="D16" i="49"/>
  <c r="C16" i="49"/>
  <c r="I15" i="49"/>
  <c r="I19" i="49" s="1"/>
  <c r="E15" i="49"/>
  <c r="D15" i="49"/>
  <c r="C15" i="49"/>
  <c r="E14" i="49"/>
  <c r="D14" i="49"/>
  <c r="C14" i="49"/>
  <c r="E13" i="49"/>
  <c r="D13" i="49"/>
  <c r="C13" i="49"/>
  <c r="E12" i="49"/>
  <c r="D12" i="49"/>
  <c r="C12" i="49"/>
  <c r="E11" i="49"/>
  <c r="D11" i="49"/>
  <c r="C11" i="49"/>
  <c r="E10" i="49"/>
  <c r="D10" i="49"/>
  <c r="C10" i="49"/>
  <c r="I9" i="49"/>
  <c r="I18" i="49" s="1"/>
  <c r="E9" i="49"/>
  <c r="D9" i="49"/>
  <c r="C9" i="49"/>
  <c r="E8" i="49"/>
  <c r="D8" i="49"/>
  <c r="C8" i="49"/>
  <c r="E7" i="49"/>
  <c r="D7" i="49"/>
  <c r="C7" i="49"/>
  <c r="E6" i="49"/>
  <c r="D6" i="49"/>
  <c r="C6" i="49"/>
  <c r="E3" i="49"/>
  <c r="E19" i="48"/>
  <c r="D19" i="48"/>
  <c r="C19" i="48"/>
  <c r="E18" i="48"/>
  <c r="D18" i="48"/>
  <c r="C18" i="48"/>
  <c r="E17" i="48"/>
  <c r="D17" i="48"/>
  <c r="C17" i="48"/>
  <c r="E16" i="48"/>
  <c r="D16" i="48"/>
  <c r="C16" i="48"/>
  <c r="I15" i="48"/>
  <c r="I19" i="48" s="1"/>
  <c r="E15" i="48"/>
  <c r="D15" i="48"/>
  <c r="C15" i="48"/>
  <c r="E14" i="48"/>
  <c r="D14" i="48"/>
  <c r="C14" i="48"/>
  <c r="E13" i="48"/>
  <c r="D13" i="48"/>
  <c r="C13" i="48"/>
  <c r="E12" i="48"/>
  <c r="D12" i="48"/>
  <c r="C12" i="48"/>
  <c r="E11" i="48"/>
  <c r="D11" i="48"/>
  <c r="C11" i="48"/>
  <c r="E10" i="48"/>
  <c r="D10" i="48"/>
  <c r="C10" i="48"/>
  <c r="I9" i="48"/>
  <c r="I18" i="48" s="1"/>
  <c r="E9" i="48"/>
  <c r="D9" i="48"/>
  <c r="C9" i="48"/>
  <c r="E8" i="48"/>
  <c r="D8" i="48"/>
  <c r="C8" i="48"/>
  <c r="E7" i="48"/>
  <c r="D7" i="48"/>
  <c r="C7" i="48"/>
  <c r="E6" i="48"/>
  <c r="D6" i="48"/>
  <c r="C6" i="48"/>
  <c r="E3" i="48"/>
  <c r="E19" i="47"/>
  <c r="D19" i="47"/>
  <c r="C19" i="47"/>
  <c r="E18" i="47"/>
  <c r="D18" i="47"/>
  <c r="C18" i="47"/>
  <c r="E17" i="47"/>
  <c r="D17" i="47"/>
  <c r="C17" i="47"/>
  <c r="E16" i="47"/>
  <c r="D16" i="47"/>
  <c r="C16" i="47"/>
  <c r="I15" i="47"/>
  <c r="I19" i="47" s="1"/>
  <c r="E15" i="47"/>
  <c r="D15" i="47"/>
  <c r="C15" i="47"/>
  <c r="E14" i="47"/>
  <c r="D14" i="47"/>
  <c r="C14" i="47"/>
  <c r="E13" i="47"/>
  <c r="D13" i="47"/>
  <c r="C13" i="47"/>
  <c r="E12" i="47"/>
  <c r="D12" i="47"/>
  <c r="C12" i="47"/>
  <c r="E11" i="47"/>
  <c r="D11" i="47"/>
  <c r="C11" i="47"/>
  <c r="E10" i="47"/>
  <c r="D10" i="47"/>
  <c r="C10" i="47"/>
  <c r="I9" i="47"/>
  <c r="I18" i="47" s="1"/>
  <c r="E9" i="47"/>
  <c r="D9" i="47"/>
  <c r="C9" i="47"/>
  <c r="E8" i="47"/>
  <c r="D8" i="47"/>
  <c r="C8" i="47"/>
  <c r="E7" i="47"/>
  <c r="D7" i="47"/>
  <c r="C7" i="47"/>
  <c r="E6" i="47"/>
  <c r="D6" i="47"/>
  <c r="C6" i="47"/>
  <c r="E3" i="47"/>
  <c r="E19" i="46"/>
  <c r="D19" i="46"/>
  <c r="C19" i="46"/>
  <c r="E18" i="46"/>
  <c r="D18" i="46"/>
  <c r="C18" i="46"/>
  <c r="E17" i="46"/>
  <c r="D17" i="46"/>
  <c r="C17" i="46"/>
  <c r="E16" i="46"/>
  <c r="D16" i="46"/>
  <c r="C16" i="46"/>
  <c r="I15" i="46"/>
  <c r="I19" i="46" s="1"/>
  <c r="E15" i="46"/>
  <c r="D15" i="46"/>
  <c r="C15" i="46"/>
  <c r="E14" i="46"/>
  <c r="D14" i="46"/>
  <c r="C14" i="46"/>
  <c r="E13" i="46"/>
  <c r="D13" i="46"/>
  <c r="C13" i="46"/>
  <c r="E12" i="46"/>
  <c r="D12" i="46"/>
  <c r="C12" i="46"/>
  <c r="E11" i="46"/>
  <c r="D11" i="46"/>
  <c r="C11" i="46"/>
  <c r="E10" i="46"/>
  <c r="D10" i="46"/>
  <c r="C10" i="46"/>
  <c r="I9" i="46"/>
  <c r="I18" i="46" s="1"/>
  <c r="E9" i="46"/>
  <c r="D9" i="46"/>
  <c r="C9" i="46"/>
  <c r="E8" i="46"/>
  <c r="D8" i="46"/>
  <c r="C8" i="46"/>
  <c r="E7" i="46"/>
  <c r="D7" i="46"/>
  <c r="C7" i="46"/>
  <c r="E6" i="46"/>
  <c r="D6" i="46"/>
  <c r="C6" i="46"/>
  <c r="E3" i="46"/>
  <c r="E7" i="36"/>
  <c r="E8" i="36"/>
  <c r="E9" i="36"/>
  <c r="E11" i="36"/>
  <c r="E12" i="36"/>
  <c r="E13" i="36"/>
  <c r="E15" i="36"/>
  <c r="E16" i="36"/>
  <c r="E17" i="36"/>
  <c r="F3" i="2"/>
  <c r="F4" i="2"/>
  <c r="F5" i="2"/>
  <c r="F6" i="2"/>
  <c r="F7" i="2"/>
  <c r="F8" i="2"/>
  <c r="F9" i="2"/>
  <c r="F10" i="2"/>
  <c r="F11" i="2"/>
  <c r="F12" i="2"/>
  <c r="C13" i="2"/>
  <c r="C6" i="1" s="1"/>
  <c r="D13" i="2"/>
  <c r="D6" i="1" s="1"/>
  <c r="H12" i="36"/>
  <c r="H6" i="36"/>
  <c r="D19" i="36" l="1"/>
  <c r="D3" i="36" s="1"/>
  <c r="H16" i="36" s="1"/>
  <c r="E14" i="36"/>
  <c r="E19" i="36" s="1"/>
  <c r="I20" i="56"/>
  <c r="I20" i="55"/>
  <c r="I20" i="54"/>
  <c r="I20" i="53"/>
  <c r="I20" i="52"/>
  <c r="I20" i="51"/>
  <c r="I20" i="50"/>
  <c r="I20" i="49"/>
  <c r="I20" i="48"/>
  <c r="I20" i="47"/>
  <c r="I20" i="46"/>
  <c r="E6" i="1"/>
  <c r="H15" i="36"/>
  <c r="F13" i="2"/>
  <c r="L6" i="2"/>
  <c r="L7" i="2"/>
  <c r="L8" i="2"/>
  <c r="F60" i="2"/>
  <c r="L22" i="2"/>
  <c r="F52" i="2"/>
  <c r="F38" i="2"/>
  <c r="F39" i="2"/>
  <c r="F31" i="2"/>
  <c r="L49" i="2"/>
  <c r="F23" i="2"/>
  <c r="E3" i="36" l="1"/>
  <c r="H17" i="36"/>
  <c r="J10" i="2" l="1"/>
  <c r="D17" i="1" s="1"/>
  <c r="I10" i="2"/>
  <c r="C17" i="1" s="1"/>
  <c r="J60" i="2"/>
  <c r="D18" i="1" s="1"/>
  <c r="I60" i="2"/>
  <c r="C18" i="1" s="1"/>
  <c r="L9" i="2"/>
  <c r="L59" i="2"/>
  <c r="L5" i="2"/>
  <c r="L58" i="2"/>
  <c r="L4" i="2"/>
  <c r="L57" i="2"/>
  <c r="L3" i="2"/>
  <c r="J33" i="2"/>
  <c r="D16" i="1" s="1"/>
  <c r="I33" i="2"/>
  <c r="C16" i="1" s="1"/>
  <c r="L32" i="2"/>
  <c r="D62" i="2"/>
  <c r="D15" i="1" s="1"/>
  <c r="C62" i="2"/>
  <c r="C15" i="1" s="1"/>
  <c r="L31" i="2"/>
  <c r="F61" i="2"/>
  <c r="L30" i="2"/>
  <c r="F59" i="2"/>
  <c r="L29" i="2"/>
  <c r="F58" i="2"/>
  <c r="L28" i="2"/>
  <c r="F57" i="2"/>
  <c r="D54" i="2"/>
  <c r="D13" i="1" s="1"/>
  <c r="C54" i="2"/>
  <c r="C13" i="1" s="1"/>
  <c r="F53" i="2"/>
  <c r="J24" i="2"/>
  <c r="D14" i="1" s="1"/>
  <c r="I24" i="2"/>
  <c r="C14" i="1" s="1"/>
  <c r="F51" i="2"/>
  <c r="L23" i="2"/>
  <c r="F50" i="2"/>
  <c r="L21" i="2"/>
  <c r="F49" i="2"/>
  <c r="L20" i="2"/>
  <c r="F48" i="2"/>
  <c r="L19" i="2"/>
  <c r="F47" i="2"/>
  <c r="L18" i="2"/>
  <c r="F46" i="2"/>
  <c r="L17" i="2"/>
  <c r="F45" i="2"/>
  <c r="L16" i="2"/>
  <c r="F44" i="2"/>
  <c r="J40" i="2"/>
  <c r="D12" i="1" s="1"/>
  <c r="I40" i="2"/>
  <c r="C12" i="1" s="1"/>
  <c r="E12" i="1" s="1"/>
  <c r="L39" i="2"/>
  <c r="D41" i="2"/>
  <c r="D11" i="1" s="1"/>
  <c r="C41" i="2"/>
  <c r="C11" i="1" s="1"/>
  <c r="L38" i="2"/>
  <c r="F40" i="2"/>
  <c r="L37" i="2"/>
  <c r="F37" i="2"/>
  <c r="L36" i="2"/>
  <c r="F36" i="2"/>
  <c r="D72" i="2"/>
  <c r="D10" i="1" s="1"/>
  <c r="C72" i="2"/>
  <c r="C10" i="1" s="1"/>
  <c r="F71" i="2"/>
  <c r="F70" i="2"/>
  <c r="F69" i="2"/>
  <c r="D33" i="2"/>
  <c r="D9" i="1" s="1"/>
  <c r="C33" i="2"/>
  <c r="C9" i="1" s="1"/>
  <c r="E9" i="1" s="1"/>
  <c r="F68" i="2"/>
  <c r="F32" i="2"/>
  <c r="F67" i="2"/>
  <c r="F30" i="2"/>
  <c r="F66" i="2"/>
  <c r="F29" i="2"/>
  <c r="F65" i="2"/>
  <c r="F28" i="2"/>
  <c r="D25" i="2"/>
  <c r="D7" i="1" s="1"/>
  <c r="C25" i="2"/>
  <c r="C7" i="1" s="1"/>
  <c r="F24" i="2"/>
  <c r="J51" i="2"/>
  <c r="D8" i="1" s="1"/>
  <c r="I51" i="2"/>
  <c r="C8" i="1" s="1"/>
  <c r="F22" i="2"/>
  <c r="L50" i="2"/>
  <c r="F21" i="2"/>
  <c r="L48" i="2"/>
  <c r="F20" i="2"/>
  <c r="L47" i="2"/>
  <c r="F19" i="2"/>
  <c r="L46" i="2"/>
  <c r="F18" i="2"/>
  <c r="L45" i="2"/>
  <c r="F17" i="2"/>
  <c r="L44" i="2"/>
  <c r="F16" i="2"/>
  <c r="I15" i="1"/>
  <c r="I9" i="1"/>
  <c r="D19" i="1" l="1"/>
  <c r="E8" i="1"/>
  <c r="E14" i="1"/>
  <c r="E10" i="1"/>
  <c r="E11" i="1"/>
  <c r="E16" i="1"/>
  <c r="E18" i="1"/>
  <c r="E13" i="1"/>
  <c r="E17" i="1"/>
  <c r="E7" i="1"/>
  <c r="C19" i="1"/>
  <c r="E15" i="1"/>
  <c r="D3" i="1"/>
  <c r="C3" i="1"/>
  <c r="F33" i="2"/>
  <c r="F41" i="2"/>
  <c r="L51" i="2"/>
  <c r="L10" i="2"/>
  <c r="L33" i="2"/>
  <c r="F54" i="2"/>
  <c r="L40" i="2"/>
  <c r="L24" i="2"/>
  <c r="L60" i="2"/>
  <c r="F25" i="2"/>
  <c r="F62" i="2"/>
  <c r="F72" i="2"/>
  <c r="E3" i="1" l="1"/>
  <c r="E19" i="1"/>
  <c r="I18" i="1"/>
  <c r="I19" i="1"/>
  <c r="I20" i="1" l="1"/>
</calcChain>
</file>

<file path=xl/sharedStrings.xml><?xml version="1.0" encoding="utf-8"?>
<sst xmlns="http://schemas.openxmlformats.org/spreadsheetml/2006/main" count="2437" uniqueCount="108">
  <si>
    <t>Family Budget - Year Overview</t>
  </si>
  <si>
    <t xml:space="preserve">Summary </t>
  </si>
  <si>
    <t>Total
budgeted cost</t>
  </si>
  <si>
    <t>Total
actual cost</t>
  </si>
  <si>
    <t>Total
difference</t>
  </si>
  <si>
    <t>Projected yearly income source</t>
  </si>
  <si>
    <t>Income 1</t>
  </si>
  <si>
    <t>Income 2</t>
  </si>
  <si>
    <t>Category</t>
  </si>
  <si>
    <t>Budgeted
cost</t>
  </si>
  <si>
    <t>Actual
cost</t>
  </si>
  <si>
    <t>Difference</t>
  </si>
  <si>
    <t>Extra income</t>
  </si>
  <si>
    <t>Housing</t>
  </si>
  <si>
    <t>Total monthly income</t>
  </si>
  <si>
    <t>Transportation</t>
  </si>
  <si>
    <t>Loans</t>
  </si>
  <si>
    <t>Actual yearly income source</t>
  </si>
  <si>
    <t>Insurance</t>
  </si>
  <si>
    <t>Entertainment</t>
  </si>
  <si>
    <t>Food</t>
  </si>
  <si>
    <t>Taxes</t>
  </si>
  <si>
    <t>Children</t>
  </si>
  <si>
    <t>Personal care</t>
  </si>
  <si>
    <t>Balance</t>
  </si>
  <si>
    <t>Legal</t>
  </si>
  <si>
    <t>Budgeted expenses</t>
  </si>
  <si>
    <t>Pets</t>
  </si>
  <si>
    <t>Actual expenses</t>
  </si>
  <si>
    <t>Savings/investments</t>
  </si>
  <si>
    <t>Gifts and donations</t>
  </si>
  <si>
    <t>Total</t>
  </si>
  <si>
    <t>January</t>
  </si>
  <si>
    <t>Projected monthly income source</t>
  </si>
  <si>
    <t>Actual monthly income source</t>
  </si>
  <si>
    <t>Projected balance</t>
  </si>
  <si>
    <t>Actual balance</t>
  </si>
  <si>
    <t>Date due</t>
  </si>
  <si>
    <t>Mortgage or rent</t>
  </si>
  <si>
    <t>Retirement account</t>
  </si>
  <si>
    <t>Second mortgage or rent</t>
  </si>
  <si>
    <t>Investment account</t>
  </si>
  <si>
    <t>Phone</t>
  </si>
  <si>
    <t xml:space="preserve">College/Univerisity </t>
  </si>
  <si>
    <t>Electricity</t>
  </si>
  <si>
    <t>RESP</t>
  </si>
  <si>
    <t>Gas</t>
  </si>
  <si>
    <t>RRSP, TFSA, LIRA, etc.</t>
  </si>
  <si>
    <t>Hydro</t>
  </si>
  <si>
    <t>Other</t>
  </si>
  <si>
    <t>Waste removal</t>
  </si>
  <si>
    <t>Maintenance or repairs</t>
  </si>
  <si>
    <t>Supplies</t>
  </si>
  <si>
    <t>Vehicle 1 payment</t>
  </si>
  <si>
    <t>Medical</t>
  </si>
  <si>
    <t>Vehicle 2 payment</t>
  </si>
  <si>
    <t>Hair/nails</t>
  </si>
  <si>
    <t>Bus/taxi fare</t>
  </si>
  <si>
    <t>Clothing</t>
  </si>
  <si>
    <t>Dry cleaning</t>
  </si>
  <si>
    <t>Licensing</t>
  </si>
  <si>
    <t>Health club</t>
  </si>
  <si>
    <t>Fuel</t>
  </si>
  <si>
    <t>Organization dues/fees</t>
  </si>
  <si>
    <t>Maintenance</t>
  </si>
  <si>
    <t>Home</t>
  </si>
  <si>
    <t>Health</t>
  </si>
  <si>
    <t>Life</t>
  </si>
  <si>
    <t>Grooming</t>
  </si>
  <si>
    <t>Toys</t>
  </si>
  <si>
    <t>Budgeted 
cost</t>
  </si>
  <si>
    <t>Actual 
cost</t>
  </si>
  <si>
    <t>Groceries</t>
  </si>
  <si>
    <t>Income Tax</t>
  </si>
  <si>
    <t>Dining out</t>
  </si>
  <si>
    <t>Property</t>
  </si>
  <si>
    <t>Takeout/Delivery</t>
  </si>
  <si>
    <t>Personal</t>
  </si>
  <si>
    <t>Student</t>
  </si>
  <si>
    <t>School tuition</t>
  </si>
  <si>
    <t>Credit card</t>
  </si>
  <si>
    <t>School supplies</t>
  </si>
  <si>
    <t>Lunch money</t>
  </si>
  <si>
    <t>Child care</t>
  </si>
  <si>
    <t>Toys/games</t>
  </si>
  <si>
    <t>Attorney Fees</t>
  </si>
  <si>
    <t>Charity 1</t>
  </si>
  <si>
    <t>Child Support</t>
  </si>
  <si>
    <t>Charity 2</t>
  </si>
  <si>
    <t>Alimony</t>
  </si>
  <si>
    <t>Charity 3</t>
  </si>
  <si>
    <t>Streaming apps</t>
  </si>
  <si>
    <t>Online games</t>
  </si>
  <si>
    <t>Movies</t>
  </si>
  <si>
    <t>Concerts</t>
  </si>
  <si>
    <t>Sporting events</t>
  </si>
  <si>
    <t>Live theater</t>
  </si>
  <si>
    <t>February</t>
  </si>
  <si>
    <t>March</t>
  </si>
  <si>
    <t>April</t>
  </si>
  <si>
    <t>May</t>
  </si>
  <si>
    <t>June</t>
  </si>
  <si>
    <t>July</t>
  </si>
  <si>
    <t>August</t>
  </si>
  <si>
    <t>September</t>
  </si>
  <si>
    <t>October</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</si>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</sst>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_);[Red]\(&quot;$&quot;#,##0\)"/>
    <numFmt numFmtId="164" formatCode="[$-F800]dddd\,\ mmmm\ dd\,\ yyyy"/>
  </numFmts>
  <fonts count="30">
    <font>
      <sz val="11"/>
      <name val="Arial"/>
      <family val="2"/>
      <scheme val="minor"/>
    </font>
    <font>
      <sz val="8"/>
      <name val="Arial"/>
      <family val="2"/>
    </font>
    <font>
      <sz val="8"/>
      <name val="Arial"/>
      <family val="2"/>
      <scheme val="minor"/>
    </font>
    <font>
      <b/>
      <sz val="16"/>
      <color theme="1"/>
      <name val="Arial"/>
      <family val="2"/>
      <scheme val="major"/>
    </font>
    <font>
      <b/>
      <sz val="11"/>
      <name val="Arial"/>
      <family val="2"/>
      <scheme val="minor"/>
    </font>
    <font>
      <b/>
      <sz val="11"/>
      <color theme="0"/>
      <name val="Arial"/>
      <family val="2"/>
      <scheme val="minor"/>
    </font>
    <font>
      <sz val="11"/>
      <name val="Arial"/>
      <family val="2"/>
      <scheme val="minor"/>
    </font>
    <font>
      <sz val="12"/>
      <color theme="1" tint="0.34998626667073579"/>
      <name val="Arial"/>
      <family val="2"/>
      <scheme val="minor"/>
    </font>
    <font>
      <b/>
      <sz val="14"/>
      <color theme="5"/>
      <name val="Arial"/>
      <family val="2"/>
      <scheme val="minor"/>
    </font>
    <font>
      <b/>
      <sz val="14"/>
      <color theme="0"/>
      <name val="Arial"/>
      <family val="2"/>
      <scheme val="minor"/>
    </font>
    <font>
      <b/>
      <sz val="12"/>
      <color theme="0"/>
      <name val="Arial"/>
      <family val="2"/>
      <scheme val="minor"/>
    </font>
    <font>
      <sz val="12"/>
      <color theme="0"/>
      <name val="Arial"/>
      <family val="2"/>
      <scheme val="minor"/>
    </font>
    <font>
      <sz val="12"/>
      <color theme="1"/>
      <name val="Arial"/>
      <family val="2"/>
      <scheme val="minor"/>
    </font>
    <font>
      <b/>
      <sz val="14"/>
      <color theme="9"/>
      <name val="Arial"/>
      <family val="2"/>
      <scheme val="minor"/>
    </font>
    <font>
      <sz val="10"/>
      <color theme="9"/>
      <name val="Arial"/>
      <family val="2"/>
      <scheme val="minor"/>
    </font>
    <font>
      <b/>
      <sz val="10"/>
      <color theme="9"/>
      <name val="Arial"/>
      <family val="2"/>
      <scheme val="minor"/>
    </font>
    <font>
      <b/>
      <sz val="12"/>
      <name val="Arial"/>
      <family val="2"/>
      <scheme val="minor"/>
    </font>
    <font>
      <b/>
      <sz val="20"/>
      <color theme="9" tint="-0.24994659260841701"/>
      <name val="Arial"/>
      <family val="2"/>
      <scheme val="minor"/>
    </font>
    <font>
      <sz val="10"/>
      <name val="Arial"/>
      <family val="2"/>
      <scheme val="minor"/>
    </font>
    <font>
      <sz val="12"/>
      <color theme="9" tint="-0.24994659260841701"/>
      <name val="Arial"/>
      <family val="2"/>
      <scheme val="minor"/>
    </font>
    <font>
      <sz val="20"/>
      <color theme="9" tint="-0.24994659260841701"/>
      <name val="Arial"/>
      <family val="2"/>
      <scheme val="minor"/>
    </font>
    <font>
      <sz val="14"/>
      <name val="Arial"/>
      <family val="2"/>
      <scheme val="minor"/>
    </font>
    <font>
      <b/>
      <sz val="14"/>
      <name val="Arial"/>
      <family val="2"/>
      <scheme val="minor"/>
    </font>
    <font>
      <sz val="12"/>
      <name val="Arial"/>
      <family val="2"/>
      <scheme val="minor"/>
    </font>
    <font>
      <b/>
      <sz val="20"/>
      <color theme="3"/>
      <name val="Arial"/>
      <family val="2"/>
      <scheme val="minor"/>
    </font>
    <font>
      <sz val="14"/>
      <color theme="3"/>
      <name val="Arial"/>
      <family val="2"/>
      <scheme val="minor"/>
    </font>
    <font>
      <b/>
      <sz val="14"/>
      <color theme="3"/>
      <name val="Arial"/>
      <family val="2"/>
      <scheme val="minor"/>
    </font>
    <font>
      <b/>
      <sz val="28"/>
      <color theme="3"/>
      <name val="Arial"/>
      <family val="2"/>
      <scheme val="minor"/>
    </font>
    <font>
      <sz val="11"/>
      <color theme="1" tint="0.34998626667073579"/>
      <name val="Arial"/>
      <family val="2"/>
      <scheme val="minor"/>
    </font>
    <font>
      <sz val="9"/>
      <color theme="1"/>
      <name val="Arial"/>
      <family val="2"/>
      <scheme val="minor"/>
    </font>
  </fonts>
  <fills count="14">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0D65A0"/>
        <bgColor indexed="64"/>
      </patternFill>
    </fill>
    <fill>
      <patternFill patternType="solid">
        <fgColor theme="7"/>
        <bgColor indexed="64"/>
      </patternFill>
    </fill>
    <fill>
      <patternFill patternType="solid">
        <fgColor theme="6"/>
        <bgColor indexed="64"/>
      </patternFill>
    </fill>
    <fill>
      <patternFill patternType="solid">
        <fgColor theme="3"/>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4" tint="0.39994506668294322"/>
        <bgColor indexed="64"/>
      </patternFill>
    </fill>
    <fill>
      <patternFill patternType="solid">
        <fgColor theme="4"/>
        <bgColor indexed="64"/>
      </patternFill>
    </fill>
  </fills>
  <borders count="34">
    <border>
      <left/>
      <right/>
      <top/>
      <bottom/>
      <diagonal/>
    </border>
    <border>
      <left/>
      <right/>
      <top style="thin">
        <color theme="0"/>
      </top>
      <bottom style="thin">
        <color theme="4" tint="-0.499984740745262"/>
      </bottom>
      <diagonal/>
    </border>
    <border>
      <left style="thin">
        <color theme="4" tint="-0.499984740745262"/>
      </left>
      <right/>
      <top/>
      <bottom/>
      <diagonal/>
    </border>
    <border>
      <left/>
      <right style="thin">
        <color theme="4" tint="-0.499984740745262"/>
      </right>
      <top/>
      <bottom/>
      <diagonal/>
    </border>
    <border>
      <left/>
      <right/>
      <top/>
      <bottom style="thin">
        <color theme="4" tint="-0.499984740745262"/>
      </bottom>
      <diagonal/>
    </border>
    <border>
      <left/>
      <right/>
      <top style="thin">
        <color theme="4" tint="-0.499984740745262"/>
      </top>
      <bottom/>
      <diagonal/>
    </border>
    <border>
      <left/>
      <right/>
      <top/>
      <bottom style="thin">
        <color theme="9"/>
      </bottom>
      <diagonal/>
    </border>
    <border>
      <left/>
      <right/>
      <top/>
      <bottom style="thin">
        <color theme="9" tint="-0.24994659260841701"/>
      </bottom>
      <diagonal/>
    </border>
    <border>
      <left style="thin">
        <color theme="3"/>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style="thin">
        <color theme="3"/>
      </right>
      <top/>
      <bottom style="thin">
        <color theme="3"/>
      </bottom>
      <diagonal/>
    </border>
    <border>
      <left/>
      <right/>
      <top style="thin">
        <color theme="3"/>
      </top>
      <bottom/>
      <diagonal/>
    </border>
    <border>
      <left/>
      <right/>
      <top/>
      <bottom style="thin">
        <color theme="3"/>
      </bottom>
      <diagonal/>
    </border>
    <border>
      <left style="thin">
        <color theme="3"/>
      </left>
      <right/>
      <top style="double">
        <color theme="4" tint="-0.24994659260841701"/>
      </top>
      <bottom style="thin">
        <color theme="3"/>
      </bottom>
      <diagonal/>
    </border>
    <border>
      <left/>
      <right/>
      <top style="double">
        <color theme="4" tint="-0.24994659260841701"/>
      </top>
      <bottom style="thin">
        <color theme="3"/>
      </bottom>
      <diagonal/>
    </border>
    <border>
      <left/>
      <right style="thin">
        <color theme="3"/>
      </right>
      <top style="double">
        <color theme="4" tint="-0.24994659260841701"/>
      </top>
      <bottom style="thin">
        <color theme="3"/>
      </bottom>
      <diagonal/>
    </border>
    <border>
      <left style="thin">
        <color theme="0" tint="-0.24994659260841701"/>
      </left>
      <right style="thin">
        <color theme="0" tint="-0.24994659260841701"/>
      </right>
      <top/>
      <bottom style="thin">
        <color theme="0" tint="-0.24994659260841701"/>
      </bottom>
      <diagonal/>
    </border>
    <border>
      <left style="thin">
        <color indexed="64"/>
      </left>
      <right/>
      <top/>
      <bottom/>
      <diagonal/>
    </border>
    <border>
      <left/>
      <right style="thin">
        <color theme="1" tint="9.9948118533890809E-2"/>
      </right>
      <top/>
      <bottom/>
      <diagonal/>
    </border>
    <border>
      <left style="thin">
        <color theme="1" tint="9.9948118533890809E-2"/>
      </left>
      <right style="thin">
        <color theme="1" tint="9.9948118533890809E-2"/>
      </right>
      <top/>
      <bottom/>
      <diagonal/>
    </border>
    <border>
      <left style="thin">
        <color theme="1" tint="9.9948118533890809E-2"/>
      </left>
      <right/>
      <top/>
      <bottom/>
      <diagonal/>
    </border>
    <border>
      <left style="thin">
        <color theme="3"/>
      </left>
      <right/>
      <top style="thin">
        <color theme="9"/>
      </top>
      <bottom/>
      <diagonal/>
    </border>
    <border>
      <left/>
      <right/>
      <top style="thin">
        <color theme="9"/>
      </top>
      <bottom/>
      <diagonal/>
    </border>
    <border>
      <left/>
      <right style="thin">
        <color theme="3"/>
      </right>
      <top style="thin">
        <color theme="9"/>
      </top>
      <bottom/>
      <diagonal/>
    </border>
    <border>
      <left/>
      <right style="thin">
        <color theme="3"/>
      </right>
      <top/>
      <bottom style="double">
        <color indexed="64"/>
      </bottom>
      <diagonal/>
    </border>
    <border>
      <left/>
      <right/>
      <top/>
      <bottom style="double">
        <color indexed="64"/>
      </bottom>
      <diagonal/>
    </border>
    <border>
      <left/>
      <right/>
      <top style="thin">
        <color theme="3"/>
      </top>
      <bottom style="thin">
        <color indexed="64"/>
      </bottom>
      <diagonal/>
    </border>
    <border>
      <left/>
      <right style="thin">
        <color theme="3"/>
      </right>
      <top style="thin">
        <color theme="3"/>
      </top>
      <bottom style="thin">
        <color indexed="64"/>
      </bottom>
      <diagonal/>
    </border>
    <border>
      <left style="thin">
        <color indexed="64"/>
      </left>
      <right/>
      <top style="thin">
        <color theme="3"/>
      </top>
      <bottom style="thin">
        <color indexed="64"/>
      </bottom>
      <diagonal/>
    </border>
    <border>
      <left style="thin">
        <color indexed="64"/>
      </left>
      <right/>
      <top/>
      <bottom style="double">
        <color indexed="64"/>
      </bottom>
      <diagonal/>
    </border>
    <border>
      <left style="thin">
        <color indexed="64"/>
      </left>
      <right/>
      <top/>
      <bottom style="thin">
        <color theme="3"/>
      </bottom>
      <diagonal/>
    </border>
  </borders>
  <cellStyleXfs count="16">
    <xf numFmtId="0" fontId="0" fillId="0" borderId="0">
      <alignment vertical="center"/>
    </xf>
    <xf numFmtId="0" fontId="3" fillId="0" borderId="0" applyNumberFormat="0" applyFill="0" applyBorder="0" applyProtection="0">
      <alignment horizontal="left"/>
    </xf>
    <xf numFmtId="0" fontId="5" fillId="2" borderId="0" applyNumberFormat="0" applyProtection="0">
      <alignment horizontal="right" vertical="center"/>
    </xf>
    <xf numFmtId="0" fontId="5" fillId="2" borderId="0" applyNumberFormat="0" applyAlignment="0" applyProtection="0"/>
    <xf numFmtId="0" fontId="5" fillId="2" borderId="0" applyProtection="0">
      <alignment horizontal="center" vertical="center" wrapText="1"/>
    </xf>
    <xf numFmtId="6" fontId="4" fillId="3" borderId="1" applyProtection="0">
      <alignment vertical="center"/>
    </xf>
    <xf numFmtId="6" fontId="6" fillId="4" borderId="0" applyFont="0" applyAlignment="0">
      <alignment vertical="center"/>
    </xf>
    <xf numFmtId="6" fontId="6" fillId="0" borderId="0" applyFont="0" applyFill="0" applyBorder="0" applyAlignment="0">
      <alignment vertical="center" wrapText="1"/>
    </xf>
    <xf numFmtId="0" fontId="6" fillId="4" borderId="2" applyNumberFormat="0" applyFont="0" applyAlignment="0">
      <alignment vertical="center"/>
    </xf>
    <xf numFmtId="6" fontId="6" fillId="4" borderId="4" applyNumberFormat="0" applyFont="0" applyFill="0" applyAlignment="0">
      <alignment vertical="center"/>
    </xf>
    <xf numFmtId="6" fontId="6" fillId="4" borderId="5" applyNumberFormat="0" applyFont="0" applyFill="0" applyAlignment="0">
      <alignment vertical="center"/>
    </xf>
    <xf numFmtId="6" fontId="6" fillId="4" borderId="2" applyNumberFormat="0" applyFont="0" applyFill="0" applyAlignment="0">
      <alignment vertical="center"/>
    </xf>
    <xf numFmtId="6" fontId="6" fillId="4" borderId="3" applyNumberFormat="0" applyFont="0" applyFill="0" applyAlignment="0">
      <alignment vertical="center"/>
    </xf>
    <xf numFmtId="0" fontId="28" fillId="0" borderId="0" applyNumberFormat="0" applyFill="0" applyBorder="0" applyProtection="0">
      <alignment vertical="top"/>
    </xf>
    <xf numFmtId="0" fontId="28" fillId="0" borderId="0" applyFill="0" applyBorder="0" applyProtection="0">
      <alignment horizontal="right" vertical="top"/>
    </xf>
    <xf numFmtId="0" fontId="29" fillId="0" borderId="19">
      <alignment vertical="top" wrapText="1"/>
    </xf>
  </cellStyleXfs>
  <cellXfs count="120">
    <xf numFmtId="0" fontId="0" fillId="0" borderId="0" xfId="0">
      <alignment vertical="center"/>
    </xf>
    <xf numFmtId="0" fontId="2" fillId="0" borderId="0" xfId="0" applyFont="1" applyAlignment="1">
      <alignment vertical="center" wrapText="1"/>
    </xf>
    <xf numFmtId="6" fontId="0" fillId="0" borderId="0" xfId="7" applyFont="1" applyAlignment="1">
      <alignment vertical="center"/>
    </xf>
    <xf numFmtId="0" fontId="7" fillId="5" borderId="0" xfId="0" applyFont="1" applyFill="1" applyAlignment="1">
      <alignment vertical="center" wrapText="1"/>
    </xf>
    <xf numFmtId="6" fontId="7" fillId="5" borderId="0" xfId="7" applyFont="1" applyFill="1" applyBorder="1" applyAlignment="1">
      <alignment vertical="center" wrapText="1"/>
    </xf>
    <xf numFmtId="0" fontId="7" fillId="5" borderId="0" xfId="0" applyFont="1" applyFill="1" applyAlignment="1">
      <alignment horizontal="left" vertical="center" wrapText="1" indent="1"/>
    </xf>
    <xf numFmtId="6" fontId="7" fillId="5" borderId="0" xfId="7" applyFont="1" applyFill="1" applyBorder="1" applyAlignment="1">
      <alignment horizontal="center" vertical="center" wrapText="1"/>
    </xf>
    <xf numFmtId="0" fontId="8" fillId="5" borderId="0" xfId="0" applyFont="1" applyFill="1" applyAlignment="1">
      <alignment horizontal="left" vertical="center" wrapText="1" indent="1"/>
    </xf>
    <xf numFmtId="0" fontId="13" fillId="0" borderId="0" xfId="3" applyFont="1" applyFill="1" applyAlignment="1">
      <alignment horizontal="left" vertical="center" wrapText="1" indent="1"/>
    </xf>
    <xf numFmtId="6" fontId="7" fillId="0" borderId="0" xfId="9" applyNumberFormat="1" applyFont="1" applyFill="1" applyBorder="1" applyAlignment="1">
      <alignment horizontal="center" vertical="center"/>
    </xf>
    <xf numFmtId="0" fontId="18" fillId="0" borderId="0" xfId="0" applyFont="1" applyAlignment="1">
      <alignment vertical="center" wrapText="1"/>
    </xf>
    <xf numFmtId="6" fontId="16" fillId="8" borderId="0" xfId="9" applyFont="1" applyFill="1" applyBorder="1" applyAlignment="1">
      <alignment vertical="center"/>
    </xf>
    <xf numFmtId="0" fontId="0" fillId="5" borderId="0" xfId="0" applyFill="1">
      <alignment vertical="center"/>
    </xf>
    <xf numFmtId="0" fontId="18" fillId="5" borderId="0" xfId="0" applyFont="1" applyFill="1" applyAlignment="1">
      <alignment vertical="center" wrapText="1"/>
    </xf>
    <xf numFmtId="0" fontId="21" fillId="5" borderId="0" xfId="0" applyFont="1" applyFill="1" applyAlignment="1">
      <alignment vertical="center" wrapText="1"/>
    </xf>
    <xf numFmtId="0" fontId="15" fillId="5" borderId="0" xfId="0" applyFont="1" applyFill="1" applyAlignment="1">
      <alignment vertical="center" wrapText="1"/>
    </xf>
    <xf numFmtId="6" fontId="0" fillId="5" borderId="0" xfId="7" applyFont="1" applyFill="1" applyAlignment="1">
      <alignment vertical="center"/>
    </xf>
    <xf numFmtId="6" fontId="0" fillId="0" borderId="0" xfId="7" applyFont="1" applyFill="1" applyBorder="1" applyAlignment="1">
      <alignment horizontal="center" vertical="center" wrapText="1"/>
    </xf>
    <xf numFmtId="0" fontId="0" fillId="0" borderId="0" xfId="0" applyAlignment="1">
      <alignment horizontal="left" vertical="center" wrapText="1" indent="1"/>
    </xf>
    <xf numFmtId="6" fontId="0" fillId="0" borderId="0" xfId="0" applyNumberFormat="1" applyAlignment="1">
      <alignment horizontal="center" vertical="center" wrapText="1"/>
    </xf>
    <xf numFmtId="0" fontId="24" fillId="5" borderId="7" xfId="0" applyFont="1" applyFill="1" applyBorder="1">
      <alignment vertical="center"/>
    </xf>
    <xf numFmtId="0" fontId="6" fillId="0" borderId="6" xfId="0" applyFont="1" applyBorder="1" applyAlignment="1">
      <alignment horizontal="center" vertical="center" wrapText="1"/>
    </xf>
    <xf numFmtId="0" fontId="25" fillId="5" borderId="6" xfId="0" applyFont="1" applyFill="1" applyBorder="1" applyAlignment="1">
      <alignment horizontal="center" vertical="center"/>
    </xf>
    <xf numFmtId="6" fontId="6" fillId="0" borderId="6" xfId="0" applyNumberFormat="1" applyFont="1" applyBorder="1" applyAlignment="1">
      <alignment horizontal="center" vertical="center" wrapText="1"/>
    </xf>
    <xf numFmtId="0" fontId="9" fillId="6" borderId="0" xfId="2" applyFont="1" applyFill="1" applyAlignment="1">
      <alignment horizontal="center" vertical="center" wrapText="1"/>
    </xf>
    <xf numFmtId="0" fontId="9" fillId="9" borderId="0" xfId="2" applyFont="1" applyFill="1" applyAlignment="1">
      <alignment horizontal="center" vertical="center" wrapText="1"/>
    </xf>
    <xf numFmtId="6" fontId="16" fillId="0" borderId="0" xfId="7" applyFont="1" applyFill="1" applyBorder="1" applyAlignment="1">
      <alignment horizontal="left" vertical="center" wrapText="1"/>
    </xf>
    <xf numFmtId="0" fontId="16" fillId="0" borderId="0" xfId="1" applyFont="1" applyFill="1" applyBorder="1" applyAlignment="1">
      <alignment horizontal="left" vertical="center" wrapText="1"/>
    </xf>
    <xf numFmtId="6" fontId="7" fillId="0" borderId="0" xfId="11" applyFont="1" applyFill="1" applyBorder="1" applyAlignment="1">
      <alignment vertical="center" wrapText="1"/>
    </xf>
    <xf numFmtId="0" fontId="7" fillId="0" borderId="0" xfId="0" applyFont="1" applyAlignment="1">
      <alignment vertical="center" wrapText="1"/>
    </xf>
    <xf numFmtId="6" fontId="7" fillId="0" borderId="0" xfId="7" applyFont="1" applyFill="1" applyBorder="1" applyAlignment="1">
      <alignment vertical="center" wrapText="1"/>
    </xf>
    <xf numFmtId="0" fontId="7" fillId="0" borderId="0" xfId="0" applyFont="1">
      <alignment vertical="center"/>
    </xf>
    <xf numFmtId="0" fontId="20" fillId="0" borderId="0" xfId="0" applyFont="1">
      <alignment vertical="center"/>
    </xf>
    <xf numFmtId="0" fontId="19" fillId="0" borderId="0" xfId="0" applyFont="1" applyAlignment="1">
      <alignment horizontal="left" vertical="center" indent="1"/>
    </xf>
    <xf numFmtId="0" fontId="14" fillId="0" borderId="0" xfId="0" applyFont="1" applyAlignment="1">
      <alignment vertical="center" wrapText="1"/>
    </xf>
    <xf numFmtId="0" fontId="7" fillId="0" borderId="0" xfId="3" applyFont="1" applyFill="1" applyAlignment="1">
      <alignment horizontal="left" vertical="center" wrapText="1"/>
    </xf>
    <xf numFmtId="0" fontId="27" fillId="0" borderId="0" xfId="1" applyFont="1" applyFill="1" applyBorder="1" applyAlignment="1">
      <alignment vertical="center"/>
    </xf>
    <xf numFmtId="0" fontId="23" fillId="8" borderId="10" xfId="8" applyFont="1" applyFill="1" applyBorder="1" applyAlignment="1">
      <alignment horizontal="left" vertical="center" indent="1"/>
    </xf>
    <xf numFmtId="6" fontId="23" fillId="8" borderId="11" xfId="12" applyNumberFormat="1" applyFont="1" applyFill="1" applyBorder="1" applyAlignment="1">
      <alignment horizontal="center" vertical="center"/>
    </xf>
    <xf numFmtId="6" fontId="23" fillId="10" borderId="10" xfId="8" applyNumberFormat="1" applyFont="1" applyFill="1" applyBorder="1" applyAlignment="1">
      <alignment horizontal="left" vertical="center" indent="1"/>
    </xf>
    <xf numFmtId="6" fontId="23" fillId="10" borderId="11" xfId="12" applyNumberFormat="1" applyFont="1" applyFill="1" applyBorder="1" applyAlignment="1">
      <alignment horizontal="center" vertical="center"/>
    </xf>
    <xf numFmtId="6" fontId="23" fillId="8" borderId="10" xfId="8" applyNumberFormat="1" applyFont="1" applyFill="1" applyBorder="1" applyAlignment="1">
      <alignment horizontal="left" vertical="center" indent="1"/>
    </xf>
    <xf numFmtId="6" fontId="9" fillId="13" borderId="12" xfId="9" applyNumberFormat="1" applyFont="1" applyFill="1" applyBorder="1" applyAlignment="1">
      <alignment horizontal="left" vertical="center" indent="1"/>
    </xf>
    <xf numFmtId="6" fontId="11" fillId="13" borderId="13" xfId="9" applyNumberFormat="1" applyFont="1" applyFill="1" applyBorder="1" applyAlignment="1">
      <alignment horizontal="center" vertical="center"/>
    </xf>
    <xf numFmtId="6" fontId="23" fillId="8" borderId="11" xfId="6" applyFont="1" applyFill="1" applyBorder="1" applyAlignment="1">
      <alignment horizontal="center" vertical="center"/>
    </xf>
    <xf numFmtId="6" fontId="23" fillId="10" borderId="11" xfId="6" applyFont="1" applyFill="1" applyBorder="1" applyAlignment="1">
      <alignment horizontal="center" vertical="center"/>
    </xf>
    <xf numFmtId="6" fontId="9" fillId="7" borderId="12" xfId="9" applyNumberFormat="1" applyFont="1" applyFill="1" applyBorder="1" applyAlignment="1">
      <alignment horizontal="left" vertical="center" indent="1"/>
    </xf>
    <xf numFmtId="6" fontId="10" fillId="7" borderId="13" xfId="9" applyNumberFormat="1" applyFont="1" applyFill="1" applyBorder="1" applyAlignment="1">
      <alignment horizontal="center" vertical="center"/>
    </xf>
    <xf numFmtId="0" fontId="23" fillId="8" borderId="10" xfId="3" applyFont="1" applyFill="1" applyBorder="1" applyAlignment="1">
      <alignment horizontal="left" vertical="center" wrapText="1" indent="1"/>
    </xf>
    <xf numFmtId="6" fontId="23" fillId="8" borderId="11" xfId="10" applyNumberFormat="1" applyFont="1" applyFill="1" applyBorder="1" applyAlignment="1">
      <alignment horizontal="center" vertical="center"/>
    </xf>
    <xf numFmtId="0" fontId="12" fillId="10" borderId="10" xfId="3" applyFont="1" applyFill="1" applyBorder="1" applyAlignment="1">
      <alignment horizontal="left" vertical="center" wrapText="1" indent="1"/>
    </xf>
    <xf numFmtId="6" fontId="12" fillId="10" borderId="11" xfId="6" applyFont="1" applyFill="1" applyBorder="1" applyAlignment="1">
      <alignment horizontal="center" vertical="center"/>
    </xf>
    <xf numFmtId="0" fontId="9" fillId="9" borderId="12" xfId="3" applyFont="1" applyFill="1" applyBorder="1" applyAlignment="1">
      <alignment horizontal="left" vertical="center" wrapText="1" indent="1"/>
    </xf>
    <xf numFmtId="6" fontId="10" fillId="9" borderId="13" xfId="9" applyNumberFormat="1" applyFont="1" applyFill="1" applyBorder="1" applyAlignment="1">
      <alignment horizontal="center" vertical="center"/>
    </xf>
    <xf numFmtId="0" fontId="22" fillId="8" borderId="0" xfId="2" applyFont="1" applyFill="1" applyAlignment="1">
      <alignment horizontal="center" vertical="center" wrapText="1"/>
    </xf>
    <xf numFmtId="0" fontId="9" fillId="7" borderId="0" xfId="2" applyFont="1" applyFill="1" applyAlignment="1">
      <alignment horizontal="center" vertical="center" wrapText="1"/>
    </xf>
    <xf numFmtId="0" fontId="24" fillId="5" borderId="0" xfId="0" applyFont="1" applyFill="1">
      <alignment vertical="center"/>
    </xf>
    <xf numFmtId="0" fontId="0" fillId="0" borderId="6" xfId="0" applyBorder="1" applyAlignment="1">
      <alignment horizontal="center" vertical="center" wrapText="1"/>
    </xf>
    <xf numFmtId="164" fontId="0" fillId="0" borderId="0" xfId="7" applyNumberFormat="1" applyFont="1" applyFill="1" applyBorder="1" applyAlignment="1">
      <alignment horizontal="center" vertical="center" wrapText="1"/>
    </xf>
    <xf numFmtId="164" fontId="24" fillId="5" borderId="7" xfId="0" applyNumberFormat="1" applyFont="1" applyFill="1" applyBorder="1">
      <alignment vertical="center"/>
    </xf>
    <xf numFmtId="164" fontId="0" fillId="0" borderId="6" xfId="0" applyNumberFormat="1" applyBorder="1" applyAlignment="1">
      <alignment horizontal="center" vertical="center" wrapText="1"/>
    </xf>
    <xf numFmtId="164" fontId="0" fillId="0" borderId="0" xfId="0" applyNumberFormat="1" applyAlignment="1">
      <alignment horizontal="center" vertical="center" wrapText="1"/>
    </xf>
    <xf numFmtId="164" fontId="7" fillId="5" borderId="0" xfId="7" applyNumberFormat="1" applyFont="1" applyFill="1" applyBorder="1" applyAlignment="1">
      <alignment horizontal="center" vertical="center" wrapText="1"/>
    </xf>
    <xf numFmtId="164" fontId="6" fillId="0" borderId="6" xfId="0" applyNumberFormat="1" applyFont="1" applyBorder="1" applyAlignment="1">
      <alignment horizontal="center" vertical="center" wrapText="1"/>
    </xf>
    <xf numFmtId="164" fontId="0" fillId="0" borderId="0" xfId="0" applyNumberFormat="1">
      <alignment vertical="center"/>
    </xf>
    <xf numFmtId="164" fontId="7" fillId="5" borderId="0" xfId="7" applyNumberFormat="1" applyFont="1" applyFill="1" applyBorder="1" applyAlignment="1">
      <alignment vertical="center" wrapText="1"/>
    </xf>
    <xf numFmtId="164" fontId="0" fillId="5" borderId="0" xfId="0" applyNumberFormat="1" applyFill="1">
      <alignment vertical="center"/>
    </xf>
    <xf numFmtId="0" fontId="12" fillId="3" borderId="10" xfId="3" applyFont="1" applyFill="1" applyBorder="1" applyAlignment="1">
      <alignment horizontal="left" vertical="center" wrapText="1" indent="1"/>
    </xf>
    <xf numFmtId="6" fontId="12" fillId="3" borderId="11" xfId="6" applyFont="1" applyFill="1" applyBorder="1" applyAlignment="1">
      <alignment horizontal="center" vertical="center"/>
    </xf>
    <xf numFmtId="6" fontId="23" fillId="3" borderId="10" xfId="8" applyNumberFormat="1" applyFont="1" applyFill="1" applyBorder="1" applyAlignment="1">
      <alignment horizontal="left" vertical="center" indent="1"/>
    </xf>
    <xf numFmtId="6" fontId="23" fillId="3" borderId="11" xfId="6" applyFont="1" applyFill="1" applyBorder="1" applyAlignment="1">
      <alignment horizontal="center" vertical="center"/>
    </xf>
    <xf numFmtId="6" fontId="23" fillId="3" borderId="11" xfId="12" applyNumberFormat="1" applyFont="1" applyFill="1" applyBorder="1" applyAlignment="1">
      <alignment horizontal="center" vertical="center"/>
    </xf>
    <xf numFmtId="6" fontId="0" fillId="11" borderId="0" xfId="7" applyFont="1" applyFill="1" applyBorder="1" applyAlignment="1">
      <alignment horizontal="center" vertical="center" wrapText="1"/>
    </xf>
    <xf numFmtId="6" fontId="0" fillId="0" borderId="0" xfId="7" applyFont="1" applyBorder="1" applyAlignment="1">
      <alignment horizontal="center" vertical="center" wrapText="1"/>
    </xf>
    <xf numFmtId="164" fontId="24" fillId="5" borderId="0" xfId="0" applyNumberFormat="1" applyFont="1" applyFill="1">
      <alignment vertical="center"/>
    </xf>
    <xf numFmtId="0" fontId="20" fillId="5" borderId="0" xfId="0" applyFont="1" applyFill="1" applyAlignment="1">
      <alignment vertical="center" wrapText="1"/>
    </xf>
    <xf numFmtId="6" fontId="21" fillId="5" borderId="21" xfId="9" applyNumberFormat="1" applyFont="1" applyFill="1" applyBorder="1" applyAlignment="1">
      <alignment horizontal="center" vertical="center"/>
    </xf>
    <xf numFmtId="6" fontId="21" fillId="5" borderId="22" xfId="9" applyNumberFormat="1" applyFont="1" applyFill="1" applyBorder="1" applyAlignment="1">
      <alignment horizontal="center" vertical="center"/>
    </xf>
    <xf numFmtId="6" fontId="10" fillId="5" borderId="23" xfId="9" applyNumberFormat="1" applyFont="1" applyFill="1" applyBorder="1" applyAlignment="1">
      <alignment horizontal="center" vertical="center"/>
    </xf>
    <xf numFmtId="0" fontId="26" fillId="5" borderId="8"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9" xfId="0" applyFont="1" applyFill="1" applyBorder="1" applyAlignment="1">
      <alignment horizontal="center" vertical="center" wrapText="1"/>
    </xf>
    <xf numFmtId="6" fontId="0" fillId="11" borderId="24" xfId="7" applyFont="1" applyFill="1" applyBorder="1" applyAlignment="1">
      <alignment horizontal="center" vertical="center" wrapText="1"/>
    </xf>
    <xf numFmtId="6" fontId="0" fillId="11" borderId="25" xfId="7" applyFont="1" applyFill="1" applyBorder="1" applyAlignment="1">
      <alignment horizontal="center" vertical="center" wrapText="1"/>
    </xf>
    <xf numFmtId="6" fontId="0" fillId="11" borderId="26" xfId="7" applyFont="1" applyFill="1" applyBorder="1" applyAlignment="1">
      <alignment horizontal="center" vertical="center" wrapText="1"/>
    </xf>
    <xf numFmtId="6" fontId="0" fillId="0" borderId="10" xfId="7" applyFont="1" applyBorder="1" applyAlignment="1">
      <alignment horizontal="center" vertical="center" wrapText="1"/>
    </xf>
    <xf numFmtId="6" fontId="0" fillId="0" borderId="11" xfId="7" applyFont="1" applyBorder="1" applyAlignment="1">
      <alignment horizontal="center" vertical="center" wrapText="1"/>
    </xf>
    <xf numFmtId="6" fontId="0" fillId="11" borderId="10" xfId="7" applyFont="1" applyFill="1" applyBorder="1" applyAlignment="1">
      <alignment horizontal="center" vertical="center" wrapText="1"/>
    </xf>
    <xf numFmtId="6" fontId="0" fillId="11" borderId="11" xfId="7" applyFont="1" applyFill="1" applyBorder="1" applyAlignment="1">
      <alignment horizontal="center" vertical="center" wrapText="1"/>
    </xf>
    <xf numFmtId="6" fontId="7" fillId="11" borderId="11" xfId="7" applyFont="1" applyFill="1" applyBorder="1" applyAlignment="1">
      <alignment horizontal="center" vertical="center" wrapText="1"/>
    </xf>
    <xf numFmtId="6" fontId="7" fillId="0" borderId="11" xfId="7" applyFont="1" applyBorder="1" applyAlignment="1">
      <alignment horizontal="center" vertical="center" wrapText="1"/>
    </xf>
    <xf numFmtId="0" fontId="4" fillId="12" borderId="16" xfId="0" applyFont="1" applyFill="1" applyBorder="1" applyAlignment="1">
      <alignment horizontal="left" vertical="center" wrapText="1" indent="1"/>
    </xf>
    <xf numFmtId="6" fontId="4" fillId="12" borderId="17" xfId="0" applyNumberFormat="1" applyFont="1" applyFill="1" applyBorder="1" applyAlignment="1">
      <alignment horizontal="center" vertical="center" wrapText="1"/>
    </xf>
    <xf numFmtId="6" fontId="4" fillId="12" borderId="18" xfId="0" applyNumberFormat="1" applyFont="1" applyFill="1" applyBorder="1" applyAlignment="1">
      <alignment horizontal="center" vertical="center" wrapText="1"/>
    </xf>
    <xf numFmtId="6" fontId="6" fillId="0" borderId="0" xfId="7" applyFont="1" applyBorder="1" applyAlignment="1">
      <alignment horizontal="center" vertical="center" wrapText="1"/>
    </xf>
    <xf numFmtId="6" fontId="6" fillId="0" borderId="11" xfId="7" applyFont="1" applyBorder="1" applyAlignment="1">
      <alignment horizontal="center" vertical="center" wrapText="1"/>
    </xf>
    <xf numFmtId="6" fontId="6" fillId="11" borderId="0" xfId="7" applyFont="1" applyFill="1" applyBorder="1" applyAlignment="1">
      <alignment horizontal="center" vertical="center" wrapText="1"/>
    </xf>
    <xf numFmtId="6" fontId="6" fillId="11" borderId="11" xfId="7" applyFont="1" applyFill="1" applyBorder="1" applyAlignment="1">
      <alignment horizontal="center" vertical="center" wrapText="1"/>
    </xf>
    <xf numFmtId="6" fontId="23" fillId="0" borderId="0" xfId="7" applyFont="1" applyBorder="1" applyAlignment="1">
      <alignment horizontal="center" vertical="center" wrapText="1"/>
    </xf>
    <xf numFmtId="6" fontId="23" fillId="0" borderId="11" xfId="7" applyFont="1" applyBorder="1" applyAlignment="1">
      <alignment horizontal="center" vertical="center" wrapText="1"/>
    </xf>
    <xf numFmtId="6" fontId="23" fillId="11" borderId="0" xfId="7" applyFont="1" applyFill="1" applyBorder="1" applyAlignment="1">
      <alignment horizontal="center" vertical="center" wrapText="1"/>
    </xf>
    <xf numFmtId="6" fontId="23" fillId="11" borderId="11" xfId="7" applyFont="1" applyFill="1" applyBorder="1" applyAlignment="1">
      <alignment horizontal="center" vertical="center" wrapText="1"/>
    </xf>
    <xf numFmtId="6" fontId="4" fillId="12" borderId="15" xfId="0" applyNumberFormat="1" applyFont="1" applyFill="1" applyBorder="1" applyAlignment="1">
      <alignment horizontal="center" vertical="center" wrapText="1"/>
    </xf>
    <xf numFmtId="6" fontId="4" fillId="12" borderId="13" xfId="0" applyNumberFormat="1" applyFont="1" applyFill="1" applyBorder="1" applyAlignment="1">
      <alignment horizontal="center" vertical="center" wrapText="1"/>
    </xf>
    <xf numFmtId="6" fontId="0" fillId="11" borderId="28" xfId="7" applyFont="1" applyFill="1" applyBorder="1" applyAlignment="1">
      <alignment horizontal="center" vertical="center" wrapText="1"/>
    </xf>
    <xf numFmtId="6" fontId="0" fillId="11" borderId="27" xfId="7"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26" fillId="5" borderId="31" xfId="0" applyFont="1" applyFill="1" applyBorder="1" applyAlignment="1">
      <alignment horizontal="center" vertical="center"/>
    </xf>
    <xf numFmtId="6" fontId="0" fillId="11" borderId="20" xfId="7" applyFont="1" applyFill="1" applyBorder="1" applyAlignment="1">
      <alignment horizontal="center" vertical="center" wrapText="1"/>
    </xf>
    <xf numFmtId="6" fontId="0" fillId="0" borderId="20" xfId="7" applyFont="1" applyBorder="1" applyAlignment="1">
      <alignment horizontal="center" vertical="center" wrapText="1"/>
    </xf>
    <xf numFmtId="6" fontId="0" fillId="11" borderId="32" xfId="7" applyFont="1" applyFill="1" applyBorder="1" applyAlignment="1">
      <alignment horizontal="center" vertical="center" wrapText="1"/>
    </xf>
    <xf numFmtId="0" fontId="4" fillId="12" borderId="33" xfId="0" applyFont="1" applyFill="1" applyBorder="1" applyAlignment="1">
      <alignment horizontal="left" vertical="center" wrapText="1" indent="1"/>
    </xf>
    <xf numFmtId="0" fontId="27" fillId="0" borderId="0" xfId="1" applyFont="1" applyFill="1" applyBorder="1" applyAlignment="1">
      <alignment vertical="center"/>
    </xf>
    <xf numFmtId="0" fontId="17" fillId="5" borderId="8" xfId="3" applyFont="1" applyFill="1" applyBorder="1" applyAlignment="1">
      <alignment horizontal="center" vertical="center" wrapText="1"/>
    </xf>
    <xf numFmtId="0" fontId="17" fillId="5" borderId="9" xfId="3" applyFont="1" applyFill="1" applyBorder="1" applyAlignment="1">
      <alignment horizontal="center" vertical="center" wrapText="1"/>
    </xf>
    <xf numFmtId="0" fontId="17" fillId="5" borderId="8" xfId="3" applyFont="1" applyFill="1" applyBorder="1" applyAlignment="1">
      <alignment horizontal="left" vertical="center" wrapText="1" indent="1"/>
    </xf>
    <xf numFmtId="0" fontId="17" fillId="5" borderId="9" xfId="3" applyFont="1" applyFill="1" applyBorder="1" applyAlignment="1">
      <alignment horizontal="left" vertical="center" wrapText="1" indent="1"/>
    </xf>
    <xf numFmtId="0" fontId="17" fillId="0" borderId="8" xfId="0" applyFont="1" applyBorder="1" applyAlignment="1">
      <alignment horizontal="left" vertical="center" indent="1"/>
    </xf>
    <xf numFmtId="0" fontId="17" fillId="0" borderId="9" xfId="0" applyFont="1" applyBorder="1" applyAlignment="1">
      <alignment horizontal="left" vertical="center" indent="1"/>
    </xf>
  </cellXfs>
  <cellStyles count="16">
    <cellStyle name="Amounts" xfId="7" xr:uid="{00000000-0005-0000-0000-000000000000}"/>
    <cellStyle name="Bottom border" xfId="9" xr:uid="{00000000-0005-0000-0000-000001000000}"/>
    <cellStyle name="DayDescriptions" xfId="15" xr:uid="{74A0F5A5-3A8A-447E-99AB-A3B70BD5277B}"/>
    <cellStyle name="Heading 1" xfId="2" builtinId="16" customBuiltin="1"/>
    <cellStyle name="Heading 2" xfId="3" builtinId="17" customBuiltin="1"/>
    <cellStyle name="Heading 3" xfId="4" builtinId="18" customBuiltin="1"/>
    <cellStyle name="Heading 4" xfId="5" builtinId="19" customBuiltin="1"/>
    <cellStyle name="Input Label Left aligned" xfId="13" xr:uid="{B4A17378-2E99-4992-92E2-115FA2EC103C}"/>
    <cellStyle name="Input Label Right aligned" xfId="14" xr:uid="{ABAD5172-0DEF-432A-A490-689F728568B2}"/>
    <cellStyle name="Left border" xfId="11" xr:uid="{00000000-0005-0000-0000-000006000000}"/>
    <cellStyle name="Normal" xfId="0" builtinId="0" customBuiltin="1"/>
    <cellStyle name="Right border" xfId="12" xr:uid="{00000000-0005-0000-0000-000008000000}"/>
    <cellStyle name="Summary amounts" xfId="6" xr:uid="{00000000-0005-0000-0000-000009000000}"/>
    <cellStyle name="Summary text" xfId="8" xr:uid="{00000000-0005-0000-0000-00000A000000}"/>
    <cellStyle name="Title" xfId="1" builtinId="15" customBuiltin="1"/>
    <cellStyle name="Top border" xfId="10" xr:uid="{00000000-0005-0000-0000-00000C000000}"/>
  </cellStyles>
  <dxfs count="1342">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name val="Arial"/>
        <family val="2"/>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outline="0">
        <bottom style="thin">
          <color rgb="FF0F253E"/>
        </bottom>
      </border>
    </dxf>
    <dxf>
      <border diagonalUp="0" diagonalDown="0">
        <left style="thin">
          <color rgb="FF292E7C"/>
        </left>
        <right style="thin">
          <color rgb="FF292E7C"/>
        </right>
        <top style="thin">
          <color rgb="FF292E7C"/>
        </top>
        <bottom style="thin">
          <color rgb="FF292E7C"/>
        </bottom>
      </border>
    </dxf>
    <dxf>
      <font>
        <b val="0"/>
        <i val="0"/>
        <strike val="0"/>
        <condense val="0"/>
        <extend val="0"/>
        <outline val="0"/>
        <shadow val="0"/>
        <u val="none"/>
        <vertAlign val="baseline"/>
        <sz val="11"/>
        <color auto="1"/>
        <name val="Arial"/>
        <family val="2"/>
        <scheme val="none"/>
      </font>
      <numFmt numFmtId="10" formatCode="&quot;$&quot;#,##0_);[Red]\(&quot;$&quot;#,##0\)"/>
      <fill>
        <patternFill patternType="none">
          <fgColor rgb="FF000000"/>
          <bgColor rgb="FFFFFFFF"/>
        </patternFill>
      </fill>
      <alignment horizontal="center" vertical="center" textRotation="0" wrapText="1" indent="0" justifyLastLine="0" shrinkToFit="0" readingOrder="0"/>
      <protection locked="1" hidden="0"/>
    </dxf>
    <dxf>
      <font>
        <strike val="0"/>
        <outline val="0"/>
        <shadow val="0"/>
        <u val="none"/>
        <vertAlign val="baseline"/>
        <sz val="12"/>
        <color rgb="FF76676B"/>
        <name val="Arial"/>
        <family val="2"/>
        <scheme val="none"/>
      </font>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color rgb="FFC00000"/>
      </font>
    </dxf>
    <dxf>
      <font>
        <b val="0"/>
        <i val="0"/>
        <color rgb="FFC00000"/>
      </font>
    </dxf>
    <dxf>
      <font>
        <b/>
        <i val="0"/>
        <strike val="0"/>
        <condense val="0"/>
        <extend val="0"/>
        <outline val="0"/>
        <shadow val="0"/>
        <u val="none"/>
        <vertAlign val="baseline"/>
        <sz val="12"/>
        <color theme="0"/>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style="thin">
          <color theme="1" tint="9.9948118533890809E-2"/>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right style="thin">
          <color theme="1" tint="9.9948118533890809E-2"/>
        </right>
        <top/>
        <bottom/>
        <vertical style="thin">
          <color theme="1" tint="9.9948118533890809E-2"/>
        </vertical>
        <horizontal/>
      </border>
    </dxf>
    <dxf>
      <font>
        <b/>
        <i val="0"/>
        <strike val="0"/>
        <condense val="0"/>
        <extend val="0"/>
        <outline val="0"/>
        <shadow val="0"/>
        <u val="none"/>
        <vertAlign val="baseline"/>
        <sz val="12"/>
        <color auto="1"/>
        <name val="Arial"/>
        <family val="2"/>
        <scheme val="minor"/>
      </font>
      <fill>
        <patternFill patternType="solid">
          <fgColor indexed="64"/>
          <bgColor theme="6"/>
        </patternFill>
      </fill>
      <alignment horizontal="general" vertical="center" textRotation="0" wrapText="0" indent="0" justifyLastLine="0" shrinkToFit="0" readingOrder="0"/>
    </dxf>
    <dxf>
      <border diagonalUp="0" diagonalDown="0">
        <left style="thin">
          <color rgb="FF292E7C"/>
        </left>
        <right style="thin">
          <color rgb="FF292E7C"/>
        </right>
        <top style="thin">
          <color rgb="FF292E7C"/>
        </top>
        <bottom style="thin">
          <color rgb="FF292E7C"/>
        </bottom>
      </border>
    </dxf>
    <dxf>
      <font>
        <strike val="0"/>
        <outline val="0"/>
        <shadow val="0"/>
        <u val="none"/>
        <vertAlign val="baseline"/>
        <sz val="12"/>
        <color rgb="FF76676B"/>
        <name val="Arial"/>
        <family val="2"/>
        <scheme val="none"/>
      </font>
      <fill>
        <patternFill>
          <fgColor rgb="FF000000"/>
          <bgColor rgb="FFFFFFFF"/>
        </patternFill>
      </fill>
    </dxf>
    <dxf>
      <font>
        <b/>
        <i val="0"/>
        <strike val="0"/>
        <condense val="0"/>
        <extend val="0"/>
        <outline val="0"/>
        <shadow val="0"/>
        <u val="none"/>
        <vertAlign val="baseline"/>
        <sz val="14"/>
        <color theme="0"/>
        <name val="Arial"/>
        <family val="2"/>
        <scheme val="minor"/>
      </font>
      <fill>
        <patternFill patternType="solid">
          <fgColor indexed="64"/>
          <bgColor theme="9"/>
        </patternFill>
      </fill>
      <alignment horizontal="center" vertical="center" textRotation="0" wrapText="1" indent="0" justifyLastLine="0" shrinkToFit="0" readingOrder="0"/>
    </dxf>
    <dxf>
      <font>
        <b val="0"/>
        <i val="0"/>
        <color rgb="FFC00000"/>
      </font>
    </dxf>
    <dxf>
      <font>
        <b val="0"/>
        <i val="0"/>
        <color rgb="FFC00000"/>
      </font>
    </dxf>
    <dxf>
      <font>
        <b val="0"/>
        <i val="0"/>
        <color rgb="FFC00000"/>
      </font>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name val="Arial"/>
        <family val="2"/>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outline="0">
        <bottom style="thin">
          <color rgb="FF0F253E"/>
        </bottom>
      </border>
    </dxf>
    <dxf>
      <border diagonalUp="0" diagonalDown="0">
        <left style="thin">
          <color rgb="FF292E7C"/>
        </left>
        <right style="thin">
          <color rgb="FF292E7C"/>
        </right>
        <top style="thin">
          <color rgb="FF292E7C"/>
        </top>
        <bottom style="thin">
          <color rgb="FF292E7C"/>
        </bottom>
      </border>
    </dxf>
    <dxf>
      <font>
        <b val="0"/>
        <i val="0"/>
        <strike val="0"/>
        <condense val="0"/>
        <extend val="0"/>
        <outline val="0"/>
        <shadow val="0"/>
        <u val="none"/>
        <vertAlign val="baseline"/>
        <sz val="11"/>
        <color auto="1"/>
        <name val="Arial"/>
        <family val="2"/>
        <scheme val="none"/>
      </font>
      <numFmt numFmtId="10" formatCode="&quot;$&quot;#,##0_);[Red]\(&quot;$&quot;#,##0\)"/>
      <fill>
        <patternFill patternType="none">
          <fgColor rgb="FF000000"/>
          <bgColor rgb="FFFFFFFF"/>
        </patternFill>
      </fill>
      <alignment horizontal="center" vertical="center" textRotation="0" wrapText="1" indent="0" justifyLastLine="0" shrinkToFit="0" readingOrder="0"/>
      <protection locked="1" hidden="0"/>
    </dxf>
    <dxf>
      <font>
        <strike val="0"/>
        <outline val="0"/>
        <shadow val="0"/>
        <u val="none"/>
        <vertAlign val="baseline"/>
        <sz val="12"/>
        <color rgb="FF76676B"/>
        <name val="Arial"/>
        <family val="2"/>
        <scheme val="none"/>
      </font>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color rgb="FFC00000"/>
      </font>
    </dxf>
    <dxf>
      <font>
        <b val="0"/>
        <i val="0"/>
        <color rgb="FFC00000"/>
      </font>
    </dxf>
    <dxf>
      <font>
        <b/>
        <i val="0"/>
        <strike val="0"/>
        <condense val="0"/>
        <extend val="0"/>
        <outline val="0"/>
        <shadow val="0"/>
        <u val="none"/>
        <vertAlign val="baseline"/>
        <sz val="12"/>
        <color theme="0"/>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style="thin">
          <color theme="1" tint="9.9948118533890809E-2"/>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right style="thin">
          <color theme="1" tint="9.9948118533890809E-2"/>
        </right>
        <top/>
        <bottom/>
        <vertical style="thin">
          <color theme="1" tint="9.9948118533890809E-2"/>
        </vertical>
        <horizontal/>
      </border>
    </dxf>
    <dxf>
      <font>
        <b/>
        <i val="0"/>
        <strike val="0"/>
        <condense val="0"/>
        <extend val="0"/>
        <outline val="0"/>
        <shadow val="0"/>
        <u val="none"/>
        <vertAlign val="baseline"/>
        <sz val="12"/>
        <color auto="1"/>
        <name val="Arial"/>
        <family val="2"/>
        <scheme val="minor"/>
      </font>
      <fill>
        <patternFill patternType="solid">
          <fgColor indexed="64"/>
          <bgColor theme="6"/>
        </patternFill>
      </fill>
      <alignment horizontal="general" vertical="center" textRotation="0" wrapText="0" indent="0" justifyLastLine="0" shrinkToFit="0" readingOrder="0"/>
    </dxf>
    <dxf>
      <border diagonalUp="0" diagonalDown="0">
        <left style="thin">
          <color rgb="FF292E7C"/>
        </left>
        <right style="thin">
          <color rgb="FF292E7C"/>
        </right>
        <top style="thin">
          <color rgb="FF292E7C"/>
        </top>
        <bottom style="thin">
          <color rgb="FF292E7C"/>
        </bottom>
      </border>
    </dxf>
    <dxf>
      <font>
        <strike val="0"/>
        <outline val="0"/>
        <shadow val="0"/>
        <u val="none"/>
        <vertAlign val="baseline"/>
        <sz val="12"/>
        <color rgb="FF76676B"/>
        <name val="Arial"/>
        <family val="2"/>
        <scheme val="none"/>
      </font>
      <fill>
        <patternFill>
          <fgColor rgb="FF000000"/>
          <bgColor rgb="FFFFFFFF"/>
        </patternFill>
      </fill>
    </dxf>
    <dxf>
      <font>
        <b/>
        <i val="0"/>
        <strike val="0"/>
        <condense val="0"/>
        <extend val="0"/>
        <outline val="0"/>
        <shadow val="0"/>
        <u val="none"/>
        <vertAlign val="baseline"/>
        <sz val="14"/>
        <color theme="0"/>
        <name val="Arial"/>
        <family val="2"/>
        <scheme val="minor"/>
      </font>
      <fill>
        <patternFill patternType="solid">
          <fgColor indexed="64"/>
          <bgColor theme="9"/>
        </patternFill>
      </fill>
      <alignment horizontal="center" vertical="center" textRotation="0" wrapText="1" indent="0" justifyLastLine="0" shrinkToFit="0" readingOrder="0"/>
    </dxf>
    <dxf>
      <font>
        <b val="0"/>
        <i val="0"/>
        <color rgb="FFC00000"/>
      </font>
    </dxf>
    <dxf>
      <font>
        <b val="0"/>
        <i val="0"/>
        <color rgb="FFC00000"/>
      </font>
    </dxf>
    <dxf>
      <font>
        <b val="0"/>
        <i val="0"/>
        <color rgb="FFC00000"/>
      </font>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name val="Arial"/>
        <family val="2"/>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outline="0">
        <bottom style="thin">
          <color rgb="FF0F253E"/>
        </bottom>
      </border>
    </dxf>
    <dxf>
      <border diagonalUp="0" diagonalDown="0">
        <left style="thin">
          <color rgb="FF292E7C"/>
        </left>
        <right style="thin">
          <color rgb="FF292E7C"/>
        </right>
        <top style="thin">
          <color rgb="FF292E7C"/>
        </top>
        <bottom style="thin">
          <color rgb="FF292E7C"/>
        </bottom>
      </border>
    </dxf>
    <dxf>
      <font>
        <b val="0"/>
        <i val="0"/>
        <strike val="0"/>
        <condense val="0"/>
        <extend val="0"/>
        <outline val="0"/>
        <shadow val="0"/>
        <u val="none"/>
        <vertAlign val="baseline"/>
        <sz val="11"/>
        <color auto="1"/>
        <name val="Arial"/>
        <family val="2"/>
        <scheme val="none"/>
      </font>
      <numFmt numFmtId="10" formatCode="&quot;$&quot;#,##0_);[Red]\(&quot;$&quot;#,##0\)"/>
      <fill>
        <patternFill patternType="none">
          <fgColor rgb="FF000000"/>
          <bgColor rgb="FFFFFFFF"/>
        </patternFill>
      </fill>
      <alignment horizontal="center" vertical="center" textRotation="0" wrapText="1" indent="0" justifyLastLine="0" shrinkToFit="0" readingOrder="0"/>
      <protection locked="1" hidden="0"/>
    </dxf>
    <dxf>
      <font>
        <strike val="0"/>
        <outline val="0"/>
        <shadow val="0"/>
        <u val="none"/>
        <vertAlign val="baseline"/>
        <sz val="12"/>
        <color rgb="FF76676B"/>
        <name val="Arial"/>
        <family val="2"/>
        <scheme val="none"/>
      </font>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color rgb="FFC00000"/>
      </font>
    </dxf>
    <dxf>
      <font>
        <b val="0"/>
        <i val="0"/>
        <color rgb="FFC00000"/>
      </font>
    </dxf>
    <dxf>
      <font>
        <b/>
        <i val="0"/>
        <strike val="0"/>
        <condense val="0"/>
        <extend val="0"/>
        <outline val="0"/>
        <shadow val="0"/>
        <u val="none"/>
        <vertAlign val="baseline"/>
        <sz val="12"/>
        <color theme="0"/>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style="thin">
          <color theme="1" tint="9.9948118533890809E-2"/>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right style="thin">
          <color theme="1" tint="9.9948118533890809E-2"/>
        </right>
        <top/>
        <bottom/>
        <vertical style="thin">
          <color theme="1" tint="9.9948118533890809E-2"/>
        </vertical>
        <horizontal/>
      </border>
    </dxf>
    <dxf>
      <font>
        <b/>
        <i val="0"/>
        <strike val="0"/>
        <condense val="0"/>
        <extend val="0"/>
        <outline val="0"/>
        <shadow val="0"/>
        <u val="none"/>
        <vertAlign val="baseline"/>
        <sz val="12"/>
        <color auto="1"/>
        <name val="Arial"/>
        <family val="2"/>
        <scheme val="minor"/>
      </font>
      <fill>
        <patternFill patternType="solid">
          <fgColor indexed="64"/>
          <bgColor theme="6"/>
        </patternFill>
      </fill>
      <alignment horizontal="general" vertical="center" textRotation="0" wrapText="0" indent="0" justifyLastLine="0" shrinkToFit="0" readingOrder="0"/>
    </dxf>
    <dxf>
      <border diagonalUp="0" diagonalDown="0">
        <left style="thin">
          <color rgb="FF292E7C"/>
        </left>
        <right style="thin">
          <color rgb="FF292E7C"/>
        </right>
        <top style="thin">
          <color rgb="FF292E7C"/>
        </top>
        <bottom style="thin">
          <color rgb="FF292E7C"/>
        </bottom>
      </border>
    </dxf>
    <dxf>
      <font>
        <strike val="0"/>
        <outline val="0"/>
        <shadow val="0"/>
        <u val="none"/>
        <vertAlign val="baseline"/>
        <sz val="12"/>
        <color rgb="FF76676B"/>
        <name val="Arial"/>
        <family val="2"/>
        <scheme val="none"/>
      </font>
      <fill>
        <patternFill>
          <fgColor rgb="FF000000"/>
          <bgColor rgb="FFFFFFFF"/>
        </patternFill>
      </fill>
    </dxf>
    <dxf>
      <font>
        <b/>
        <i val="0"/>
        <strike val="0"/>
        <condense val="0"/>
        <extend val="0"/>
        <outline val="0"/>
        <shadow val="0"/>
        <u val="none"/>
        <vertAlign val="baseline"/>
        <sz val="14"/>
        <color theme="0"/>
        <name val="Arial"/>
        <family val="2"/>
        <scheme val="minor"/>
      </font>
      <fill>
        <patternFill patternType="solid">
          <fgColor indexed="64"/>
          <bgColor theme="9"/>
        </patternFill>
      </fill>
      <alignment horizontal="center" vertical="center" textRotation="0" wrapText="1" indent="0" justifyLastLine="0" shrinkToFit="0" readingOrder="0"/>
    </dxf>
    <dxf>
      <font>
        <b val="0"/>
        <i val="0"/>
        <color rgb="FFC00000"/>
      </font>
    </dxf>
    <dxf>
      <font>
        <b val="0"/>
        <i val="0"/>
        <color rgb="FFC00000"/>
      </font>
    </dxf>
    <dxf>
      <font>
        <b val="0"/>
        <i val="0"/>
        <color rgb="FFC00000"/>
      </font>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name val="Arial"/>
        <family val="2"/>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outline="0">
        <bottom style="thin">
          <color rgb="FF0F253E"/>
        </bottom>
      </border>
    </dxf>
    <dxf>
      <border diagonalUp="0" diagonalDown="0">
        <left style="thin">
          <color rgb="FF292E7C"/>
        </left>
        <right style="thin">
          <color rgb="FF292E7C"/>
        </right>
        <top style="thin">
          <color rgb="FF292E7C"/>
        </top>
        <bottom style="thin">
          <color rgb="FF292E7C"/>
        </bottom>
      </border>
    </dxf>
    <dxf>
      <font>
        <b val="0"/>
        <i val="0"/>
        <strike val="0"/>
        <condense val="0"/>
        <extend val="0"/>
        <outline val="0"/>
        <shadow val="0"/>
        <u val="none"/>
        <vertAlign val="baseline"/>
        <sz val="11"/>
        <color auto="1"/>
        <name val="Arial"/>
        <family val="2"/>
        <scheme val="none"/>
      </font>
      <numFmt numFmtId="10" formatCode="&quot;$&quot;#,##0_);[Red]\(&quot;$&quot;#,##0\)"/>
      <fill>
        <patternFill patternType="none">
          <fgColor rgb="FF000000"/>
          <bgColor rgb="FFFFFFFF"/>
        </patternFill>
      </fill>
      <alignment horizontal="center" vertical="center" textRotation="0" wrapText="1" indent="0" justifyLastLine="0" shrinkToFit="0" readingOrder="0"/>
      <protection locked="1" hidden="0"/>
    </dxf>
    <dxf>
      <font>
        <strike val="0"/>
        <outline val="0"/>
        <shadow val="0"/>
        <u val="none"/>
        <vertAlign val="baseline"/>
        <sz val="12"/>
        <color rgb="FF76676B"/>
        <name val="Arial"/>
        <family val="2"/>
        <scheme val="none"/>
      </font>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color rgb="FFC00000"/>
      </font>
    </dxf>
    <dxf>
      <font>
        <b val="0"/>
        <i val="0"/>
        <color rgb="FFC00000"/>
      </font>
    </dxf>
    <dxf>
      <font>
        <b/>
        <i val="0"/>
        <strike val="0"/>
        <condense val="0"/>
        <extend val="0"/>
        <outline val="0"/>
        <shadow val="0"/>
        <u val="none"/>
        <vertAlign val="baseline"/>
        <sz val="12"/>
        <color theme="0"/>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style="thin">
          <color theme="1" tint="9.9948118533890809E-2"/>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right style="thin">
          <color theme="1" tint="9.9948118533890809E-2"/>
        </right>
        <top/>
        <bottom/>
        <vertical style="thin">
          <color theme="1" tint="9.9948118533890809E-2"/>
        </vertical>
        <horizontal/>
      </border>
    </dxf>
    <dxf>
      <font>
        <b/>
        <i val="0"/>
        <strike val="0"/>
        <condense val="0"/>
        <extend val="0"/>
        <outline val="0"/>
        <shadow val="0"/>
        <u val="none"/>
        <vertAlign val="baseline"/>
        <sz val="12"/>
        <color auto="1"/>
        <name val="Arial"/>
        <family val="2"/>
        <scheme val="minor"/>
      </font>
      <fill>
        <patternFill patternType="solid">
          <fgColor indexed="64"/>
          <bgColor theme="6"/>
        </patternFill>
      </fill>
      <alignment horizontal="general" vertical="center" textRotation="0" wrapText="0" indent="0" justifyLastLine="0" shrinkToFit="0" readingOrder="0"/>
    </dxf>
    <dxf>
      <border diagonalUp="0" diagonalDown="0">
        <left style="thin">
          <color rgb="FF292E7C"/>
        </left>
        <right style="thin">
          <color rgb="FF292E7C"/>
        </right>
        <top style="thin">
          <color rgb="FF292E7C"/>
        </top>
        <bottom style="thin">
          <color rgb="FF292E7C"/>
        </bottom>
      </border>
    </dxf>
    <dxf>
      <font>
        <strike val="0"/>
        <outline val="0"/>
        <shadow val="0"/>
        <u val="none"/>
        <vertAlign val="baseline"/>
        <sz val="12"/>
        <color rgb="FF76676B"/>
        <name val="Arial"/>
        <family val="2"/>
        <scheme val="none"/>
      </font>
      <fill>
        <patternFill>
          <fgColor rgb="FF000000"/>
          <bgColor rgb="FFFFFFFF"/>
        </patternFill>
      </fill>
    </dxf>
    <dxf>
      <font>
        <b/>
        <i val="0"/>
        <strike val="0"/>
        <condense val="0"/>
        <extend val="0"/>
        <outline val="0"/>
        <shadow val="0"/>
        <u val="none"/>
        <vertAlign val="baseline"/>
        <sz val="14"/>
        <color theme="0"/>
        <name val="Arial"/>
        <family val="2"/>
        <scheme val="minor"/>
      </font>
      <fill>
        <patternFill patternType="solid">
          <fgColor indexed="64"/>
          <bgColor theme="9"/>
        </patternFill>
      </fill>
      <alignment horizontal="center" vertical="center" textRotation="0" wrapText="1" indent="0" justifyLastLine="0" shrinkToFit="0" readingOrder="0"/>
    </dxf>
    <dxf>
      <font>
        <b val="0"/>
        <i val="0"/>
        <color rgb="FFC00000"/>
      </font>
    </dxf>
    <dxf>
      <font>
        <b val="0"/>
        <i val="0"/>
        <color rgb="FFC00000"/>
      </font>
    </dxf>
    <dxf>
      <font>
        <b val="0"/>
        <i val="0"/>
        <color rgb="FFC00000"/>
      </font>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name val="Arial"/>
        <family val="2"/>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outline="0">
        <bottom style="thin">
          <color rgb="FF0F253E"/>
        </bottom>
      </border>
    </dxf>
    <dxf>
      <border diagonalUp="0" diagonalDown="0">
        <left style="thin">
          <color rgb="FF292E7C"/>
        </left>
        <right style="thin">
          <color rgb="FF292E7C"/>
        </right>
        <top style="thin">
          <color rgb="FF292E7C"/>
        </top>
        <bottom style="thin">
          <color rgb="FF292E7C"/>
        </bottom>
      </border>
    </dxf>
    <dxf>
      <font>
        <b val="0"/>
        <i val="0"/>
        <strike val="0"/>
        <condense val="0"/>
        <extend val="0"/>
        <outline val="0"/>
        <shadow val="0"/>
        <u val="none"/>
        <vertAlign val="baseline"/>
        <sz val="11"/>
        <color auto="1"/>
        <name val="Arial"/>
        <family val="2"/>
        <scheme val="none"/>
      </font>
      <numFmt numFmtId="10" formatCode="&quot;$&quot;#,##0_);[Red]\(&quot;$&quot;#,##0\)"/>
      <fill>
        <patternFill patternType="none">
          <fgColor rgb="FF000000"/>
          <bgColor rgb="FFFFFFFF"/>
        </patternFill>
      </fill>
      <alignment horizontal="center" vertical="center" textRotation="0" wrapText="1" indent="0" justifyLastLine="0" shrinkToFit="0" readingOrder="0"/>
      <protection locked="1" hidden="0"/>
    </dxf>
    <dxf>
      <font>
        <strike val="0"/>
        <outline val="0"/>
        <shadow val="0"/>
        <u val="none"/>
        <vertAlign val="baseline"/>
        <sz val="12"/>
        <color rgb="FF76676B"/>
        <name val="Arial"/>
        <family val="2"/>
        <scheme val="none"/>
      </font>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color rgb="FFC00000"/>
      </font>
    </dxf>
    <dxf>
      <font>
        <b val="0"/>
        <i val="0"/>
        <color rgb="FFC00000"/>
      </font>
    </dxf>
    <dxf>
      <font>
        <b/>
        <i val="0"/>
        <strike val="0"/>
        <condense val="0"/>
        <extend val="0"/>
        <outline val="0"/>
        <shadow val="0"/>
        <u val="none"/>
        <vertAlign val="baseline"/>
        <sz val="12"/>
        <color theme="0"/>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style="thin">
          <color theme="1" tint="9.9948118533890809E-2"/>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right style="thin">
          <color theme="1" tint="9.9948118533890809E-2"/>
        </right>
        <top/>
        <bottom/>
        <vertical style="thin">
          <color theme="1" tint="9.9948118533890809E-2"/>
        </vertical>
        <horizontal/>
      </border>
    </dxf>
    <dxf>
      <font>
        <b/>
        <i val="0"/>
        <strike val="0"/>
        <condense val="0"/>
        <extend val="0"/>
        <outline val="0"/>
        <shadow val="0"/>
        <u val="none"/>
        <vertAlign val="baseline"/>
        <sz val="12"/>
        <color auto="1"/>
        <name val="Arial"/>
        <family val="2"/>
        <scheme val="minor"/>
      </font>
      <fill>
        <patternFill patternType="solid">
          <fgColor indexed="64"/>
          <bgColor theme="6"/>
        </patternFill>
      </fill>
      <alignment horizontal="general" vertical="center" textRotation="0" wrapText="0" indent="0" justifyLastLine="0" shrinkToFit="0" readingOrder="0"/>
    </dxf>
    <dxf>
      <border diagonalUp="0" diagonalDown="0">
        <left style="thin">
          <color rgb="FF292E7C"/>
        </left>
        <right style="thin">
          <color rgb="FF292E7C"/>
        </right>
        <top style="thin">
          <color rgb="FF292E7C"/>
        </top>
        <bottom style="thin">
          <color rgb="FF292E7C"/>
        </bottom>
      </border>
    </dxf>
    <dxf>
      <font>
        <strike val="0"/>
        <outline val="0"/>
        <shadow val="0"/>
        <u val="none"/>
        <vertAlign val="baseline"/>
        <sz val="12"/>
        <color rgb="FF76676B"/>
        <name val="Arial"/>
        <family val="2"/>
        <scheme val="none"/>
      </font>
      <fill>
        <patternFill>
          <fgColor rgb="FF000000"/>
          <bgColor rgb="FFFFFFFF"/>
        </patternFill>
      </fill>
    </dxf>
    <dxf>
      <font>
        <b/>
        <i val="0"/>
        <strike val="0"/>
        <condense val="0"/>
        <extend val="0"/>
        <outline val="0"/>
        <shadow val="0"/>
        <u val="none"/>
        <vertAlign val="baseline"/>
        <sz val="14"/>
        <color theme="0"/>
        <name val="Arial"/>
        <family val="2"/>
        <scheme val="minor"/>
      </font>
      <fill>
        <patternFill patternType="solid">
          <fgColor indexed="64"/>
          <bgColor theme="9"/>
        </patternFill>
      </fill>
      <alignment horizontal="center" vertical="center" textRotation="0" wrapText="1" indent="0" justifyLastLine="0" shrinkToFit="0" readingOrder="0"/>
    </dxf>
    <dxf>
      <font>
        <b val="0"/>
        <i val="0"/>
        <color rgb="FFC00000"/>
      </font>
    </dxf>
    <dxf>
      <font>
        <b val="0"/>
        <i val="0"/>
        <color rgb="FFC00000"/>
      </font>
    </dxf>
    <dxf>
      <font>
        <b val="0"/>
        <i val="0"/>
        <color rgb="FFC00000"/>
      </font>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name val="Arial"/>
        <family val="2"/>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outline="0">
        <bottom style="thin">
          <color rgb="FF0F253E"/>
        </bottom>
      </border>
    </dxf>
    <dxf>
      <border diagonalUp="0" diagonalDown="0">
        <left style="thin">
          <color rgb="FF292E7C"/>
        </left>
        <right style="thin">
          <color rgb="FF292E7C"/>
        </right>
        <top style="thin">
          <color rgb="FF292E7C"/>
        </top>
        <bottom style="thin">
          <color rgb="FF292E7C"/>
        </bottom>
      </border>
    </dxf>
    <dxf>
      <font>
        <b val="0"/>
        <i val="0"/>
        <strike val="0"/>
        <condense val="0"/>
        <extend val="0"/>
        <outline val="0"/>
        <shadow val="0"/>
        <u val="none"/>
        <vertAlign val="baseline"/>
        <sz val="11"/>
        <color auto="1"/>
        <name val="Arial"/>
        <family val="2"/>
        <scheme val="none"/>
      </font>
      <numFmt numFmtId="10" formatCode="&quot;$&quot;#,##0_);[Red]\(&quot;$&quot;#,##0\)"/>
      <fill>
        <patternFill patternType="none">
          <fgColor rgb="FF000000"/>
          <bgColor rgb="FFFFFFFF"/>
        </patternFill>
      </fill>
      <alignment horizontal="center" vertical="center" textRotation="0" wrapText="1" indent="0" justifyLastLine="0" shrinkToFit="0" readingOrder="0"/>
      <protection locked="1" hidden="0"/>
    </dxf>
    <dxf>
      <font>
        <strike val="0"/>
        <outline val="0"/>
        <shadow val="0"/>
        <u val="none"/>
        <vertAlign val="baseline"/>
        <sz val="12"/>
        <color rgb="FF76676B"/>
        <name val="Arial"/>
        <family val="2"/>
        <scheme val="none"/>
      </font>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color rgb="FFC00000"/>
      </font>
    </dxf>
    <dxf>
      <font>
        <b val="0"/>
        <i val="0"/>
        <color rgb="FFC00000"/>
      </font>
    </dxf>
    <dxf>
      <font>
        <b/>
        <i val="0"/>
        <strike val="0"/>
        <condense val="0"/>
        <extend val="0"/>
        <outline val="0"/>
        <shadow val="0"/>
        <u val="none"/>
        <vertAlign val="baseline"/>
        <sz val="12"/>
        <color theme="0"/>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style="thin">
          <color theme="1" tint="9.9948118533890809E-2"/>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right style="thin">
          <color theme="1" tint="9.9948118533890809E-2"/>
        </right>
        <top/>
        <bottom/>
        <vertical style="thin">
          <color theme="1" tint="9.9948118533890809E-2"/>
        </vertical>
        <horizontal/>
      </border>
    </dxf>
    <dxf>
      <font>
        <b/>
        <i val="0"/>
        <strike val="0"/>
        <condense val="0"/>
        <extend val="0"/>
        <outline val="0"/>
        <shadow val="0"/>
        <u val="none"/>
        <vertAlign val="baseline"/>
        <sz val="12"/>
        <color auto="1"/>
        <name val="Arial"/>
        <family val="2"/>
        <scheme val="minor"/>
      </font>
      <fill>
        <patternFill patternType="solid">
          <fgColor indexed="64"/>
          <bgColor theme="6"/>
        </patternFill>
      </fill>
      <alignment horizontal="general" vertical="center" textRotation="0" wrapText="0" indent="0" justifyLastLine="0" shrinkToFit="0" readingOrder="0"/>
    </dxf>
    <dxf>
      <border diagonalUp="0" diagonalDown="0">
        <left style="thin">
          <color rgb="FF292E7C"/>
        </left>
        <right style="thin">
          <color rgb="FF292E7C"/>
        </right>
        <top style="thin">
          <color rgb="FF292E7C"/>
        </top>
        <bottom style="thin">
          <color rgb="FF292E7C"/>
        </bottom>
      </border>
    </dxf>
    <dxf>
      <font>
        <strike val="0"/>
        <outline val="0"/>
        <shadow val="0"/>
        <u val="none"/>
        <vertAlign val="baseline"/>
        <sz val="12"/>
        <color rgb="FF76676B"/>
        <name val="Arial"/>
        <family val="2"/>
        <scheme val="none"/>
      </font>
      <fill>
        <patternFill>
          <fgColor rgb="FF000000"/>
          <bgColor rgb="FFFFFFFF"/>
        </patternFill>
      </fill>
    </dxf>
    <dxf>
      <font>
        <b/>
        <i val="0"/>
        <strike val="0"/>
        <condense val="0"/>
        <extend val="0"/>
        <outline val="0"/>
        <shadow val="0"/>
        <u val="none"/>
        <vertAlign val="baseline"/>
        <sz val="14"/>
        <color theme="0"/>
        <name val="Arial"/>
        <family val="2"/>
        <scheme val="minor"/>
      </font>
      <fill>
        <patternFill patternType="solid">
          <fgColor indexed="64"/>
          <bgColor theme="9"/>
        </patternFill>
      </fill>
      <alignment horizontal="center" vertical="center" textRotation="0" wrapText="1" indent="0" justifyLastLine="0" shrinkToFit="0" readingOrder="0"/>
    </dxf>
    <dxf>
      <font>
        <b val="0"/>
        <i val="0"/>
        <color rgb="FFC00000"/>
      </font>
    </dxf>
    <dxf>
      <font>
        <b val="0"/>
        <i val="0"/>
        <color rgb="FFC00000"/>
      </font>
    </dxf>
    <dxf>
      <font>
        <b val="0"/>
        <i val="0"/>
        <color rgb="FFC00000"/>
      </font>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name val="Arial"/>
        <family val="2"/>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outline="0">
        <bottom style="thin">
          <color rgb="FF0F253E"/>
        </bottom>
      </border>
    </dxf>
    <dxf>
      <border diagonalUp="0" diagonalDown="0">
        <left style="thin">
          <color rgb="FF292E7C"/>
        </left>
        <right style="thin">
          <color rgb="FF292E7C"/>
        </right>
        <top style="thin">
          <color rgb="FF292E7C"/>
        </top>
        <bottom style="thin">
          <color rgb="FF292E7C"/>
        </bottom>
      </border>
    </dxf>
    <dxf>
      <font>
        <b val="0"/>
        <i val="0"/>
        <strike val="0"/>
        <condense val="0"/>
        <extend val="0"/>
        <outline val="0"/>
        <shadow val="0"/>
        <u val="none"/>
        <vertAlign val="baseline"/>
        <sz val="11"/>
        <color auto="1"/>
        <name val="Arial"/>
        <family val="2"/>
        <scheme val="none"/>
      </font>
      <numFmt numFmtId="10" formatCode="&quot;$&quot;#,##0_);[Red]\(&quot;$&quot;#,##0\)"/>
      <fill>
        <patternFill patternType="none">
          <fgColor rgb="FF000000"/>
          <bgColor rgb="FFFFFFFF"/>
        </patternFill>
      </fill>
      <alignment horizontal="center" vertical="center" textRotation="0" wrapText="1" indent="0" justifyLastLine="0" shrinkToFit="0" readingOrder="0"/>
      <protection locked="1" hidden="0"/>
    </dxf>
    <dxf>
      <font>
        <strike val="0"/>
        <outline val="0"/>
        <shadow val="0"/>
        <u val="none"/>
        <vertAlign val="baseline"/>
        <sz val="12"/>
        <color rgb="FF76676B"/>
        <name val="Arial"/>
        <family val="2"/>
        <scheme val="none"/>
      </font>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color rgb="FFC00000"/>
      </font>
    </dxf>
    <dxf>
      <font>
        <b val="0"/>
        <i val="0"/>
        <color rgb="FFC00000"/>
      </font>
    </dxf>
    <dxf>
      <font>
        <b/>
        <i val="0"/>
        <strike val="0"/>
        <condense val="0"/>
        <extend val="0"/>
        <outline val="0"/>
        <shadow val="0"/>
        <u val="none"/>
        <vertAlign val="baseline"/>
        <sz val="12"/>
        <color theme="0"/>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style="thin">
          <color theme="1" tint="9.9948118533890809E-2"/>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right style="thin">
          <color theme="1" tint="9.9948118533890809E-2"/>
        </right>
        <top/>
        <bottom/>
        <vertical style="thin">
          <color theme="1" tint="9.9948118533890809E-2"/>
        </vertical>
        <horizontal/>
      </border>
    </dxf>
    <dxf>
      <font>
        <b/>
        <i val="0"/>
        <strike val="0"/>
        <condense val="0"/>
        <extend val="0"/>
        <outline val="0"/>
        <shadow val="0"/>
        <u val="none"/>
        <vertAlign val="baseline"/>
        <sz val="12"/>
        <color auto="1"/>
        <name val="Arial"/>
        <family val="2"/>
        <scheme val="minor"/>
      </font>
      <fill>
        <patternFill patternType="solid">
          <fgColor indexed="64"/>
          <bgColor theme="6"/>
        </patternFill>
      </fill>
      <alignment horizontal="general" vertical="center" textRotation="0" wrapText="0" indent="0" justifyLastLine="0" shrinkToFit="0" readingOrder="0"/>
    </dxf>
    <dxf>
      <border diagonalUp="0" diagonalDown="0">
        <left style="thin">
          <color rgb="FF292E7C"/>
        </left>
        <right style="thin">
          <color rgb="FF292E7C"/>
        </right>
        <top style="thin">
          <color rgb="FF292E7C"/>
        </top>
        <bottom style="thin">
          <color rgb="FF292E7C"/>
        </bottom>
      </border>
    </dxf>
    <dxf>
      <font>
        <strike val="0"/>
        <outline val="0"/>
        <shadow val="0"/>
        <u val="none"/>
        <vertAlign val="baseline"/>
        <sz val="12"/>
        <color rgb="FF76676B"/>
        <name val="Arial"/>
        <family val="2"/>
        <scheme val="none"/>
      </font>
      <fill>
        <patternFill>
          <fgColor rgb="FF000000"/>
          <bgColor rgb="FFFFFFFF"/>
        </patternFill>
      </fill>
    </dxf>
    <dxf>
      <font>
        <b/>
        <i val="0"/>
        <strike val="0"/>
        <condense val="0"/>
        <extend val="0"/>
        <outline val="0"/>
        <shadow val="0"/>
        <u val="none"/>
        <vertAlign val="baseline"/>
        <sz val="14"/>
        <color theme="0"/>
        <name val="Arial"/>
        <family val="2"/>
        <scheme val="minor"/>
      </font>
      <fill>
        <patternFill patternType="solid">
          <fgColor indexed="64"/>
          <bgColor theme="9"/>
        </patternFill>
      </fill>
      <alignment horizontal="center" vertical="center" textRotation="0" wrapText="1" indent="0" justifyLastLine="0" shrinkToFit="0" readingOrder="0"/>
    </dxf>
    <dxf>
      <font>
        <b val="0"/>
        <i val="0"/>
        <color rgb="FFC00000"/>
      </font>
    </dxf>
    <dxf>
      <font>
        <b val="0"/>
        <i val="0"/>
        <color rgb="FFC00000"/>
      </font>
    </dxf>
    <dxf>
      <font>
        <b val="0"/>
        <i val="0"/>
        <color rgb="FFC00000"/>
      </font>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name val="Arial"/>
        <family val="2"/>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outline="0">
        <bottom style="thin">
          <color rgb="FF0F253E"/>
        </bottom>
      </border>
    </dxf>
    <dxf>
      <border diagonalUp="0" diagonalDown="0">
        <left style="thin">
          <color rgb="FF292E7C"/>
        </left>
        <right style="thin">
          <color rgb="FF292E7C"/>
        </right>
        <top style="thin">
          <color rgb="FF292E7C"/>
        </top>
        <bottom style="thin">
          <color rgb="FF292E7C"/>
        </bottom>
      </border>
    </dxf>
    <dxf>
      <font>
        <b val="0"/>
        <i val="0"/>
        <strike val="0"/>
        <condense val="0"/>
        <extend val="0"/>
        <outline val="0"/>
        <shadow val="0"/>
        <u val="none"/>
        <vertAlign val="baseline"/>
        <sz val="11"/>
        <color auto="1"/>
        <name val="Arial"/>
        <family val="2"/>
        <scheme val="none"/>
      </font>
      <numFmt numFmtId="10" formatCode="&quot;$&quot;#,##0_);[Red]\(&quot;$&quot;#,##0\)"/>
      <fill>
        <patternFill patternType="none">
          <fgColor rgb="FF000000"/>
          <bgColor rgb="FFFFFFFF"/>
        </patternFill>
      </fill>
      <alignment horizontal="center" vertical="center" textRotation="0" wrapText="1" indent="0" justifyLastLine="0" shrinkToFit="0" readingOrder="0"/>
      <protection locked="1" hidden="0"/>
    </dxf>
    <dxf>
      <font>
        <strike val="0"/>
        <outline val="0"/>
        <shadow val="0"/>
        <u val="none"/>
        <vertAlign val="baseline"/>
        <sz val="12"/>
        <color rgb="FF76676B"/>
        <name val="Arial"/>
        <family val="2"/>
        <scheme val="none"/>
      </font>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color rgb="FFC00000"/>
      </font>
    </dxf>
    <dxf>
      <font>
        <b val="0"/>
        <i val="0"/>
        <color rgb="FFC00000"/>
      </font>
    </dxf>
    <dxf>
      <font>
        <b/>
        <i val="0"/>
        <strike val="0"/>
        <condense val="0"/>
        <extend val="0"/>
        <outline val="0"/>
        <shadow val="0"/>
        <u val="none"/>
        <vertAlign val="baseline"/>
        <sz val="12"/>
        <color theme="0"/>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style="thin">
          <color theme="1" tint="9.9948118533890809E-2"/>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right style="thin">
          <color theme="1" tint="9.9948118533890809E-2"/>
        </right>
        <top/>
        <bottom/>
        <vertical style="thin">
          <color theme="1" tint="9.9948118533890809E-2"/>
        </vertical>
        <horizontal/>
      </border>
    </dxf>
    <dxf>
      <font>
        <b/>
        <i val="0"/>
        <strike val="0"/>
        <condense val="0"/>
        <extend val="0"/>
        <outline val="0"/>
        <shadow val="0"/>
        <u val="none"/>
        <vertAlign val="baseline"/>
        <sz val="12"/>
        <color auto="1"/>
        <name val="Arial"/>
        <family val="2"/>
        <scheme val="minor"/>
      </font>
      <fill>
        <patternFill patternType="solid">
          <fgColor indexed="64"/>
          <bgColor theme="6"/>
        </patternFill>
      </fill>
      <alignment horizontal="general" vertical="center" textRotation="0" wrapText="0" indent="0" justifyLastLine="0" shrinkToFit="0" readingOrder="0"/>
    </dxf>
    <dxf>
      <border diagonalUp="0" diagonalDown="0">
        <left style="thin">
          <color rgb="FF292E7C"/>
        </left>
        <right style="thin">
          <color rgb="FF292E7C"/>
        </right>
        <top style="thin">
          <color rgb="FF292E7C"/>
        </top>
        <bottom style="thin">
          <color rgb="FF292E7C"/>
        </bottom>
      </border>
    </dxf>
    <dxf>
      <font>
        <strike val="0"/>
        <outline val="0"/>
        <shadow val="0"/>
        <u val="none"/>
        <vertAlign val="baseline"/>
        <sz val="12"/>
        <color rgb="FF76676B"/>
        <name val="Arial"/>
        <family val="2"/>
        <scheme val="none"/>
      </font>
      <fill>
        <patternFill>
          <fgColor rgb="FF000000"/>
          <bgColor rgb="FFFFFFFF"/>
        </patternFill>
      </fill>
    </dxf>
    <dxf>
      <font>
        <b/>
        <i val="0"/>
        <strike val="0"/>
        <condense val="0"/>
        <extend val="0"/>
        <outline val="0"/>
        <shadow val="0"/>
        <u val="none"/>
        <vertAlign val="baseline"/>
        <sz val="14"/>
        <color theme="0"/>
        <name val="Arial"/>
        <family val="2"/>
        <scheme val="minor"/>
      </font>
      <fill>
        <patternFill patternType="solid">
          <fgColor indexed="64"/>
          <bgColor theme="9"/>
        </patternFill>
      </fill>
      <alignment horizontal="center" vertical="center" textRotation="0" wrapText="1" indent="0" justifyLastLine="0" shrinkToFit="0" readingOrder="0"/>
    </dxf>
    <dxf>
      <font>
        <b val="0"/>
        <i val="0"/>
        <color rgb="FFC00000"/>
      </font>
    </dxf>
    <dxf>
      <font>
        <b val="0"/>
        <i val="0"/>
        <color rgb="FFC00000"/>
      </font>
    </dxf>
    <dxf>
      <font>
        <b val="0"/>
        <i val="0"/>
        <color rgb="FFC00000"/>
      </font>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name val="Arial"/>
        <family val="2"/>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outline="0">
        <bottom style="thin">
          <color rgb="FF0F253E"/>
        </bottom>
      </border>
    </dxf>
    <dxf>
      <border diagonalUp="0" diagonalDown="0">
        <left style="thin">
          <color rgb="FF292E7C"/>
        </left>
        <right style="thin">
          <color rgb="FF292E7C"/>
        </right>
        <top style="thin">
          <color rgb="FF292E7C"/>
        </top>
        <bottom style="thin">
          <color rgb="FF292E7C"/>
        </bottom>
      </border>
    </dxf>
    <dxf>
      <font>
        <b val="0"/>
        <i val="0"/>
        <strike val="0"/>
        <condense val="0"/>
        <extend val="0"/>
        <outline val="0"/>
        <shadow val="0"/>
        <u val="none"/>
        <vertAlign val="baseline"/>
        <sz val="11"/>
        <color auto="1"/>
        <name val="Arial"/>
        <family val="2"/>
        <scheme val="none"/>
      </font>
      <numFmt numFmtId="10" formatCode="&quot;$&quot;#,##0_);[Red]\(&quot;$&quot;#,##0\)"/>
      <fill>
        <patternFill patternType="none">
          <fgColor rgb="FF000000"/>
          <bgColor rgb="FFFFFFFF"/>
        </patternFill>
      </fill>
      <alignment horizontal="center" vertical="center" textRotation="0" wrapText="1" indent="0" justifyLastLine="0" shrinkToFit="0" readingOrder="0"/>
      <protection locked="1" hidden="0"/>
    </dxf>
    <dxf>
      <font>
        <strike val="0"/>
        <outline val="0"/>
        <shadow val="0"/>
        <u val="none"/>
        <vertAlign val="baseline"/>
        <sz val="12"/>
        <color rgb="FF76676B"/>
        <name val="Arial"/>
        <family val="2"/>
        <scheme val="none"/>
      </font>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color rgb="FFC00000"/>
      </font>
    </dxf>
    <dxf>
      <font>
        <b val="0"/>
        <i val="0"/>
        <color rgb="FFC00000"/>
      </font>
    </dxf>
    <dxf>
      <font>
        <b/>
        <i val="0"/>
        <strike val="0"/>
        <condense val="0"/>
        <extend val="0"/>
        <outline val="0"/>
        <shadow val="0"/>
        <u val="none"/>
        <vertAlign val="baseline"/>
        <sz val="12"/>
        <color theme="0"/>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style="thin">
          <color theme="1" tint="9.9948118533890809E-2"/>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right style="thin">
          <color theme="1" tint="9.9948118533890809E-2"/>
        </right>
        <top/>
        <bottom/>
        <vertical style="thin">
          <color theme="1" tint="9.9948118533890809E-2"/>
        </vertical>
        <horizontal/>
      </border>
    </dxf>
    <dxf>
      <font>
        <b/>
        <i val="0"/>
        <strike val="0"/>
        <condense val="0"/>
        <extend val="0"/>
        <outline val="0"/>
        <shadow val="0"/>
        <u val="none"/>
        <vertAlign val="baseline"/>
        <sz val="12"/>
        <color auto="1"/>
        <name val="Arial"/>
        <family val="2"/>
        <scheme val="minor"/>
      </font>
      <fill>
        <patternFill patternType="solid">
          <fgColor indexed="64"/>
          <bgColor theme="6"/>
        </patternFill>
      </fill>
      <alignment horizontal="general" vertical="center" textRotation="0" wrapText="0" indent="0" justifyLastLine="0" shrinkToFit="0" readingOrder="0"/>
    </dxf>
    <dxf>
      <border diagonalUp="0" diagonalDown="0">
        <left style="thin">
          <color rgb="FF292E7C"/>
        </left>
        <right style="thin">
          <color rgb="FF292E7C"/>
        </right>
        <top style="thin">
          <color rgb="FF292E7C"/>
        </top>
        <bottom style="thin">
          <color rgb="FF292E7C"/>
        </bottom>
      </border>
    </dxf>
    <dxf>
      <font>
        <strike val="0"/>
        <outline val="0"/>
        <shadow val="0"/>
        <u val="none"/>
        <vertAlign val="baseline"/>
        <sz val="12"/>
        <color rgb="FF76676B"/>
        <name val="Arial"/>
        <family val="2"/>
        <scheme val="none"/>
      </font>
      <fill>
        <patternFill>
          <fgColor rgb="FF000000"/>
          <bgColor rgb="FFFFFFFF"/>
        </patternFill>
      </fill>
    </dxf>
    <dxf>
      <font>
        <b/>
        <i val="0"/>
        <strike val="0"/>
        <condense val="0"/>
        <extend val="0"/>
        <outline val="0"/>
        <shadow val="0"/>
        <u val="none"/>
        <vertAlign val="baseline"/>
        <sz val="14"/>
        <color theme="0"/>
        <name val="Arial"/>
        <family val="2"/>
        <scheme val="minor"/>
      </font>
      <fill>
        <patternFill patternType="solid">
          <fgColor indexed="64"/>
          <bgColor theme="9"/>
        </patternFill>
      </fill>
      <alignment horizontal="center" vertical="center" textRotation="0" wrapText="1" indent="0" justifyLastLine="0" shrinkToFit="0" readingOrder="0"/>
    </dxf>
    <dxf>
      <font>
        <b val="0"/>
        <i val="0"/>
        <color rgb="FFC00000"/>
      </font>
    </dxf>
    <dxf>
      <font>
        <b val="0"/>
        <i val="0"/>
        <color rgb="FFC00000"/>
      </font>
    </dxf>
    <dxf>
      <font>
        <b val="0"/>
        <i val="0"/>
        <color rgb="FFC00000"/>
      </font>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name val="Arial"/>
        <family val="2"/>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outline="0">
        <bottom style="thin">
          <color rgb="FF0F253E"/>
        </bottom>
      </border>
    </dxf>
    <dxf>
      <border diagonalUp="0" diagonalDown="0">
        <left style="thin">
          <color rgb="FF292E7C"/>
        </left>
        <right style="thin">
          <color rgb="FF292E7C"/>
        </right>
        <top style="thin">
          <color rgb="FF292E7C"/>
        </top>
        <bottom style="thin">
          <color rgb="FF292E7C"/>
        </bottom>
      </border>
    </dxf>
    <dxf>
      <font>
        <b val="0"/>
        <i val="0"/>
        <strike val="0"/>
        <condense val="0"/>
        <extend val="0"/>
        <outline val="0"/>
        <shadow val="0"/>
        <u val="none"/>
        <vertAlign val="baseline"/>
        <sz val="11"/>
        <color auto="1"/>
        <name val="Arial"/>
        <family val="2"/>
        <scheme val="none"/>
      </font>
      <numFmt numFmtId="10" formatCode="&quot;$&quot;#,##0_);[Red]\(&quot;$&quot;#,##0\)"/>
      <fill>
        <patternFill patternType="none">
          <fgColor rgb="FF000000"/>
          <bgColor rgb="FFFFFFFF"/>
        </patternFill>
      </fill>
      <alignment horizontal="center" vertical="center" textRotation="0" wrapText="1" indent="0" justifyLastLine="0" shrinkToFit="0" readingOrder="0"/>
      <protection locked="1" hidden="0"/>
    </dxf>
    <dxf>
      <font>
        <strike val="0"/>
        <outline val="0"/>
        <shadow val="0"/>
        <u val="none"/>
        <vertAlign val="baseline"/>
        <sz val="12"/>
        <color rgb="FF76676B"/>
        <name val="Arial"/>
        <family val="2"/>
        <scheme val="none"/>
      </font>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color rgb="FFC00000"/>
      </font>
    </dxf>
    <dxf>
      <font>
        <b val="0"/>
        <i val="0"/>
        <color rgb="FFC00000"/>
      </font>
    </dxf>
    <dxf>
      <font>
        <b/>
        <i val="0"/>
        <strike val="0"/>
        <condense val="0"/>
        <extend val="0"/>
        <outline val="0"/>
        <shadow val="0"/>
        <u val="none"/>
        <vertAlign val="baseline"/>
        <sz val="12"/>
        <color theme="0"/>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style="thin">
          <color theme="1" tint="9.9948118533890809E-2"/>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right style="thin">
          <color theme="1" tint="9.9948118533890809E-2"/>
        </right>
        <top/>
        <bottom/>
        <vertical style="thin">
          <color theme="1" tint="9.9948118533890809E-2"/>
        </vertical>
        <horizontal/>
      </border>
    </dxf>
    <dxf>
      <font>
        <b/>
        <i val="0"/>
        <strike val="0"/>
        <condense val="0"/>
        <extend val="0"/>
        <outline val="0"/>
        <shadow val="0"/>
        <u val="none"/>
        <vertAlign val="baseline"/>
        <sz val="12"/>
        <color auto="1"/>
        <name val="Arial"/>
        <family val="2"/>
        <scheme val="minor"/>
      </font>
      <fill>
        <patternFill patternType="solid">
          <fgColor indexed="64"/>
          <bgColor theme="6"/>
        </patternFill>
      </fill>
      <alignment horizontal="general" vertical="center" textRotation="0" wrapText="0" indent="0" justifyLastLine="0" shrinkToFit="0" readingOrder="0"/>
    </dxf>
    <dxf>
      <border diagonalUp="0" diagonalDown="0">
        <left style="thin">
          <color rgb="FF292E7C"/>
        </left>
        <right style="thin">
          <color rgb="FF292E7C"/>
        </right>
        <top style="thin">
          <color rgb="FF292E7C"/>
        </top>
        <bottom style="thin">
          <color rgb="FF292E7C"/>
        </bottom>
      </border>
    </dxf>
    <dxf>
      <font>
        <strike val="0"/>
        <outline val="0"/>
        <shadow val="0"/>
        <u val="none"/>
        <vertAlign val="baseline"/>
        <sz val="12"/>
        <color rgb="FF76676B"/>
        <name val="Arial"/>
        <family val="2"/>
        <scheme val="none"/>
      </font>
      <fill>
        <patternFill>
          <fgColor rgb="FF000000"/>
          <bgColor rgb="FFFFFFFF"/>
        </patternFill>
      </fill>
    </dxf>
    <dxf>
      <font>
        <b/>
        <i val="0"/>
        <strike val="0"/>
        <condense val="0"/>
        <extend val="0"/>
        <outline val="0"/>
        <shadow val="0"/>
        <u val="none"/>
        <vertAlign val="baseline"/>
        <sz val="14"/>
        <color theme="0"/>
        <name val="Arial"/>
        <family val="2"/>
        <scheme val="minor"/>
      </font>
      <fill>
        <patternFill patternType="solid">
          <fgColor indexed="64"/>
          <bgColor theme="9"/>
        </patternFill>
      </fill>
      <alignment horizontal="center" vertical="center" textRotation="0" wrapText="1" indent="0" justifyLastLine="0" shrinkToFit="0" readingOrder="0"/>
    </dxf>
    <dxf>
      <font>
        <b val="0"/>
        <i val="0"/>
        <color rgb="FFC00000"/>
      </font>
    </dxf>
    <dxf>
      <font>
        <b val="0"/>
        <i val="0"/>
        <color rgb="FFC00000"/>
      </font>
    </dxf>
    <dxf>
      <font>
        <b val="0"/>
        <i val="0"/>
        <color rgb="FFC00000"/>
      </font>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name val="Arial"/>
        <family val="2"/>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outline="0">
        <bottom style="thin">
          <color rgb="FF0F253E"/>
        </bottom>
      </border>
    </dxf>
    <dxf>
      <border diagonalUp="0" diagonalDown="0">
        <left style="thin">
          <color rgb="FF292E7C"/>
        </left>
        <right style="thin">
          <color rgb="FF292E7C"/>
        </right>
        <top style="thin">
          <color rgb="FF292E7C"/>
        </top>
        <bottom style="thin">
          <color rgb="FF292E7C"/>
        </bottom>
      </border>
    </dxf>
    <dxf>
      <font>
        <b val="0"/>
        <i val="0"/>
        <strike val="0"/>
        <condense val="0"/>
        <extend val="0"/>
        <outline val="0"/>
        <shadow val="0"/>
        <u val="none"/>
        <vertAlign val="baseline"/>
        <sz val="11"/>
        <color auto="1"/>
        <name val="Arial"/>
        <family val="2"/>
        <scheme val="none"/>
      </font>
      <numFmt numFmtId="10" formatCode="&quot;$&quot;#,##0_);[Red]\(&quot;$&quot;#,##0\)"/>
      <fill>
        <patternFill patternType="none">
          <fgColor rgb="FF000000"/>
          <bgColor rgb="FFFFFFFF"/>
        </patternFill>
      </fill>
      <alignment horizontal="center" vertical="center" textRotation="0" wrapText="1" indent="0" justifyLastLine="0" shrinkToFit="0" readingOrder="0"/>
      <protection locked="1" hidden="0"/>
    </dxf>
    <dxf>
      <font>
        <strike val="0"/>
        <outline val="0"/>
        <shadow val="0"/>
        <u val="none"/>
        <vertAlign val="baseline"/>
        <sz val="12"/>
        <color rgb="FF76676B"/>
        <name val="Arial"/>
        <family val="2"/>
        <scheme val="none"/>
      </font>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rgb="FF0F253E"/>
        </bottom>
      </border>
    </dxf>
    <dxf>
      <font>
        <b val="0"/>
        <i val="0"/>
        <color rgb="FFC00000"/>
      </font>
    </dxf>
    <dxf>
      <font>
        <b val="0"/>
        <i val="0"/>
        <color rgb="FFC00000"/>
      </font>
    </dxf>
    <dxf>
      <font>
        <b/>
        <i val="0"/>
        <strike val="0"/>
        <condense val="0"/>
        <extend val="0"/>
        <outline val="0"/>
        <shadow val="0"/>
        <u val="none"/>
        <vertAlign val="baseline"/>
        <sz val="12"/>
        <color theme="0"/>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style="thin">
          <color theme="1" tint="9.9948118533890809E-2"/>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right style="thin">
          <color theme="1" tint="9.9948118533890809E-2"/>
        </right>
        <top/>
        <bottom/>
        <vertical style="thin">
          <color theme="1" tint="9.9948118533890809E-2"/>
        </vertical>
        <horizontal/>
      </border>
    </dxf>
    <dxf>
      <font>
        <b/>
        <i val="0"/>
        <strike val="0"/>
        <condense val="0"/>
        <extend val="0"/>
        <outline val="0"/>
        <shadow val="0"/>
        <u val="none"/>
        <vertAlign val="baseline"/>
        <sz val="12"/>
        <color auto="1"/>
        <name val="Arial"/>
        <family val="2"/>
        <scheme val="minor"/>
      </font>
      <fill>
        <patternFill patternType="solid">
          <fgColor indexed="64"/>
          <bgColor theme="6"/>
        </patternFill>
      </fill>
      <alignment horizontal="general" vertical="center" textRotation="0" wrapText="0" indent="0" justifyLastLine="0" shrinkToFit="0" readingOrder="0"/>
    </dxf>
    <dxf>
      <border diagonalUp="0" diagonalDown="0">
        <left style="thin">
          <color rgb="FF292E7C"/>
        </left>
        <right style="thin">
          <color rgb="FF292E7C"/>
        </right>
        <top style="thin">
          <color rgb="FF292E7C"/>
        </top>
        <bottom style="thin">
          <color rgb="FF292E7C"/>
        </bottom>
      </border>
    </dxf>
    <dxf>
      <font>
        <strike val="0"/>
        <outline val="0"/>
        <shadow val="0"/>
        <u val="none"/>
        <vertAlign val="baseline"/>
        <sz val="12"/>
        <color rgb="FF76676B"/>
        <name val="Arial"/>
        <family val="2"/>
        <scheme val="none"/>
      </font>
      <fill>
        <patternFill>
          <fgColor rgb="FF000000"/>
          <bgColor rgb="FFFFFFFF"/>
        </patternFill>
      </fill>
    </dxf>
    <dxf>
      <font>
        <b/>
        <i val="0"/>
        <strike val="0"/>
        <condense val="0"/>
        <extend val="0"/>
        <outline val="0"/>
        <shadow val="0"/>
        <u val="none"/>
        <vertAlign val="baseline"/>
        <sz val="14"/>
        <color theme="0"/>
        <name val="Arial"/>
        <family val="2"/>
        <scheme val="minor"/>
      </font>
      <fill>
        <patternFill patternType="solid">
          <fgColor indexed="64"/>
          <bgColor theme="9"/>
        </patternFill>
      </fill>
      <alignment horizontal="center" vertical="center" textRotation="0" wrapText="1" indent="0" justifyLastLine="0" shrinkToFit="0" readingOrder="0"/>
    </dxf>
    <dxf>
      <font>
        <b val="0"/>
        <i val="0"/>
        <color rgb="FFC00000"/>
      </font>
    </dxf>
    <dxf>
      <font>
        <b val="0"/>
        <i val="0"/>
        <color rgb="FFC00000"/>
      </font>
    </dxf>
    <dxf>
      <font>
        <b val="0"/>
        <i val="0"/>
        <color rgb="FFC00000"/>
      </font>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tint="0.34998626667073579"/>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color theme="1"/>
        <name val="Arial"/>
        <family val="2"/>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outline="0">
        <bottom style="thin">
          <color theme="9"/>
        </bottom>
      </border>
    </dxf>
    <dxf>
      <border diagonalUp="0" diagonalDown="0">
        <left style="thin">
          <color theme="3"/>
        </left>
        <right style="thin">
          <color theme="3"/>
        </right>
        <top style="thin">
          <color theme="3"/>
        </top>
        <bottom style="thin">
          <color theme="3"/>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protection locked="1" hidden="0"/>
    </dxf>
    <dxf>
      <font>
        <strike val="0"/>
        <outline val="0"/>
        <shadow val="0"/>
        <u val="none"/>
        <vertAlign val="baseline"/>
        <sz val="12"/>
        <color theme="1" tint="0.34998626667073579"/>
        <name val="Arial"/>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theme="9"/>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theme="9"/>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theme="9"/>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theme="9"/>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theme="9"/>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theme="9"/>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theme="9"/>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theme="9"/>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theme="9"/>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theme="9"/>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numFmt numFmtId="164" formatCode="[$-F800]dddd\,\ mmmm\ dd\,\ yyyy"/>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theme="9"/>
        </bottom>
      </border>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minor"/>
      </font>
      <numFmt numFmtId="164" formatCode="[$-F800]dddd\,\ mmmm\ dd\,\ yyyy"/>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numFmt numFmtId="10" formatCode="&quot;$&quot;#,##0_);[Red]\(&quot;$&quot;#,##0\)"/>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vertical="center" textRotation="0" wrapText="1" indent="1" justifyLastLine="0" shrinkToFit="0" readingOrder="0"/>
      <border diagonalUp="0" diagonalDown="0" outline="0">
        <left/>
        <right/>
        <top/>
        <bottom/>
      </border>
    </dxf>
    <dxf>
      <border>
        <bottom style="thin">
          <color theme="9"/>
        </bottom>
      </border>
    </dxf>
    <dxf>
      <font>
        <b val="0"/>
        <i val="0"/>
        <color rgb="FFC00000"/>
      </font>
    </dxf>
    <dxf>
      <font>
        <b val="0"/>
        <i val="0"/>
        <color rgb="FFC00000"/>
      </font>
    </dxf>
    <dxf>
      <font>
        <b/>
        <i val="0"/>
        <strike val="0"/>
        <condense val="0"/>
        <extend val="0"/>
        <outline val="0"/>
        <shadow val="0"/>
        <u val="none"/>
        <vertAlign val="baseline"/>
        <sz val="12"/>
        <color theme="0"/>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style="thin">
          <color theme="1" tint="9.9948118533890809E-2"/>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right style="thin">
          <color theme="1" tint="9.9948118533890809E-2"/>
        </right>
        <top/>
        <bottom/>
        <vertical style="thin">
          <color theme="1" tint="9.9948118533890809E-2"/>
        </vertical>
        <horizontal/>
      </border>
    </dxf>
    <dxf>
      <font>
        <b/>
        <i val="0"/>
        <strike val="0"/>
        <condense val="0"/>
        <extend val="0"/>
        <outline val="0"/>
        <shadow val="0"/>
        <u val="none"/>
        <vertAlign val="baseline"/>
        <sz val="12"/>
        <color auto="1"/>
        <name val="Arial"/>
        <family val="2"/>
        <scheme val="minor"/>
      </font>
      <fill>
        <patternFill patternType="solid">
          <fgColor indexed="64"/>
          <bgColor theme="6"/>
        </patternFill>
      </fill>
      <alignment horizontal="general" vertical="center" textRotation="0" wrapText="0" indent="0" justifyLastLine="0" shrinkToFit="0" readingOrder="0"/>
    </dxf>
    <dxf>
      <border diagonalUp="0" diagonalDown="0">
        <left style="thin">
          <color theme="3"/>
        </left>
        <right style="thin">
          <color theme="3"/>
        </right>
        <top style="thin">
          <color theme="3"/>
        </top>
        <bottom style="thin">
          <color theme="3"/>
        </bottom>
      </border>
    </dxf>
    <dxf>
      <font>
        <strike val="0"/>
        <outline val="0"/>
        <shadow val="0"/>
        <u val="none"/>
        <vertAlign val="baseline"/>
        <sz val="12"/>
        <color theme="1" tint="0.34998626667073579"/>
        <name val="Arial"/>
        <family val="2"/>
        <scheme val="minor"/>
      </font>
      <fill>
        <patternFill>
          <fgColor indexed="64"/>
          <bgColor theme="0"/>
        </patternFill>
      </fill>
    </dxf>
    <dxf>
      <font>
        <b/>
        <i val="0"/>
        <strike val="0"/>
        <condense val="0"/>
        <extend val="0"/>
        <outline val="0"/>
        <shadow val="0"/>
        <u val="none"/>
        <vertAlign val="baseline"/>
        <sz val="14"/>
        <color theme="0"/>
        <name val="Arial"/>
        <family val="2"/>
        <scheme val="minor"/>
      </font>
      <fill>
        <patternFill patternType="solid">
          <fgColor indexed="64"/>
          <bgColor theme="9"/>
        </patternFill>
      </fill>
      <alignment horizontal="center" vertical="center" textRotation="0" wrapText="1" indent="0" justifyLastLine="0" shrinkToFit="0" readingOrder="0"/>
    </dxf>
    <dxf>
      <font>
        <b val="0"/>
        <i val="0"/>
        <color rgb="FFC00000"/>
      </font>
    </dxf>
    <dxf>
      <font>
        <b val="0"/>
        <i val="0"/>
        <color rgb="FFC00000"/>
      </font>
    </dxf>
    <dxf>
      <font>
        <b val="0"/>
        <i val="0"/>
        <color rgb="FFC00000"/>
      </font>
    </dxf>
    <dxf>
      <font>
        <b/>
        <i val="0"/>
        <strike val="0"/>
        <condense val="0"/>
        <extend val="0"/>
        <outline val="0"/>
        <shadow val="0"/>
        <u val="none"/>
        <vertAlign val="baseline"/>
        <sz val="12"/>
        <color theme="0"/>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style="thin">
          <color theme="1" tint="9.9948118533890809E-2"/>
        </left>
        <right style="thin">
          <color theme="1" tint="9.9948118533890809E-2"/>
        </right>
        <top/>
        <bottom/>
        <vertical style="thin">
          <color theme="1" tint="9.9948118533890809E-2"/>
        </vertical>
        <horizontal/>
      </border>
    </dxf>
    <dxf>
      <font>
        <b val="0"/>
        <i val="0"/>
        <strike val="0"/>
        <condense val="0"/>
        <extend val="0"/>
        <outline val="0"/>
        <shadow val="0"/>
        <u val="none"/>
        <vertAlign val="baseline"/>
        <sz val="14"/>
        <color auto="1"/>
        <name val="Arial"/>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left/>
        <right style="thin">
          <color theme="1" tint="9.9948118533890809E-2"/>
        </right>
        <top/>
        <bottom/>
        <vertical style="thin">
          <color theme="1" tint="9.9948118533890809E-2"/>
        </vertical>
        <horizontal/>
      </border>
    </dxf>
    <dxf>
      <font>
        <b/>
        <i val="0"/>
        <strike val="0"/>
        <condense val="0"/>
        <extend val="0"/>
        <outline val="0"/>
        <shadow val="0"/>
        <u val="none"/>
        <vertAlign val="baseline"/>
        <sz val="12"/>
        <color auto="1"/>
        <name val="Arial"/>
        <family val="2"/>
        <scheme val="minor"/>
      </font>
      <fill>
        <patternFill patternType="solid">
          <fgColor indexed="64"/>
          <bgColor theme="6"/>
        </patternFill>
      </fill>
      <alignment horizontal="general" vertical="center" textRotation="0" wrapText="0" indent="0" justifyLastLine="0" shrinkToFit="0" readingOrder="0"/>
    </dxf>
    <dxf>
      <border diagonalUp="0" diagonalDown="0">
        <left style="thin">
          <color theme="3"/>
        </left>
        <right style="thin">
          <color theme="3"/>
        </right>
        <top style="thin">
          <color theme="3"/>
        </top>
        <bottom style="thin">
          <color theme="3"/>
        </bottom>
      </border>
    </dxf>
    <dxf>
      <font>
        <strike val="0"/>
        <outline val="0"/>
        <shadow val="0"/>
        <u val="none"/>
        <vertAlign val="baseline"/>
        <sz val="12"/>
        <color theme="1" tint="0.34998626667073579"/>
        <name val="Arial"/>
        <family val="2"/>
        <scheme val="minor"/>
      </font>
      <fill>
        <patternFill>
          <fgColor indexed="64"/>
          <bgColor theme="0"/>
        </patternFill>
      </fill>
    </dxf>
    <dxf>
      <font>
        <b/>
        <i val="0"/>
        <strike val="0"/>
        <condense val="0"/>
        <extend val="0"/>
        <outline val="0"/>
        <shadow val="0"/>
        <u val="none"/>
        <vertAlign val="baseline"/>
        <sz val="14"/>
        <color theme="0"/>
        <name val="Arial"/>
        <family val="2"/>
        <scheme val="minor"/>
      </font>
      <fill>
        <patternFill patternType="solid">
          <fgColor indexed="64"/>
          <bgColor theme="9"/>
        </patternFill>
      </fill>
      <alignment horizontal="center" vertical="center" textRotation="0" wrapText="1" indent="0" justifyLastLine="0" shrinkToFit="0" readingOrder="0"/>
    </dxf>
    <dxf>
      <font>
        <b val="0"/>
        <i val="0"/>
        <color rgb="FFC00000"/>
      </font>
    </dxf>
    <dxf>
      <font>
        <b val="0"/>
        <i val="0"/>
        <color rgb="FFC00000"/>
      </font>
    </dxf>
    <dxf>
      <font>
        <b val="0"/>
        <i val="0"/>
        <color rgb="FFC00000"/>
      </font>
    </dxf>
    <dxf>
      <font>
        <b val="0"/>
        <i val="0"/>
        <color rgb="FFC00000"/>
      </font>
    </dxf>
    <dxf>
      <font>
        <b val="0"/>
        <i val="0"/>
        <color rgb="FFC00000"/>
      </font>
    </dxf>
    <dxf>
      <font>
        <b/>
        <i val="0"/>
      </font>
      <fill>
        <patternFill>
          <bgColor theme="0" tint="-4.9989318521683403E-2"/>
        </patternFill>
      </fill>
      <border diagonalUp="0" diagonalDown="0">
        <left/>
        <right/>
        <top style="thin">
          <color theme="0" tint="-0.14996795556505021"/>
        </top>
        <bottom style="thin">
          <color theme="0" tint="-0.14996795556505021"/>
        </bottom>
        <vertical style="thin">
          <color theme="0" tint="-0.14996795556505021"/>
        </vertical>
        <horizontal style="thin">
          <color theme="0" tint="-0.14996795556505021"/>
        </horizontal>
      </border>
    </dxf>
    <dxf>
      <font>
        <b/>
        <i val="0"/>
      </font>
      <border diagonalUp="0" diagonalDown="0">
        <left/>
        <right/>
        <top style="thin">
          <color theme="9" tint="-0.24994659260841701"/>
        </top>
        <bottom style="thin">
          <color theme="0" tint="-0.14996795556505021"/>
        </bottom>
        <vertical/>
        <horizontal/>
      </border>
    </dxf>
    <dxf>
      <border diagonalUp="0" diagonalDown="0">
        <left/>
        <right/>
        <top style="thin">
          <color theme="9" tint="-0.24994659260841701"/>
        </top>
        <bottom style="thin">
          <color theme="0" tint="-0.14996795556505021"/>
        </bottom>
        <vertical style="thin">
          <color theme="0" tint="-0.14996795556505021"/>
        </vertical>
        <horizontal style="thin">
          <color theme="0" tint="-0.14996795556505021"/>
        </horizontal>
      </border>
    </dxf>
    <dxf>
      <fill>
        <patternFill>
          <bgColor theme="4" tint="0.79998168889431442"/>
        </patternFill>
      </fill>
    </dxf>
    <dxf>
      <font>
        <b/>
        <i val="0"/>
      </font>
      <fill>
        <patternFill>
          <bgColor theme="4" tint="0.39994506668294322"/>
        </patternFill>
      </fill>
      <border>
        <left style="thin">
          <color theme="4" tint="-0.24994659260841701"/>
        </left>
        <right style="thin">
          <color theme="4" tint="-0.24994659260841701"/>
        </right>
        <top style="double">
          <color theme="4" tint="-0.24994659260841701"/>
        </top>
        <bottom style="thin">
          <color theme="4" tint="-0.24994659260841701"/>
        </bottom>
      </border>
    </dxf>
    <dxf>
      <font>
        <b/>
        <i val="0"/>
        <color theme="0"/>
      </font>
      <fill>
        <patternFill>
          <bgColor theme="4" tint="-0.499984740745262"/>
        </patternFill>
      </fill>
      <border>
        <bottom style="thin">
          <color theme="0"/>
        </bottom>
      </border>
    </dxf>
    <dxf>
      <border>
        <left style="thin">
          <color theme="4" tint="-0.24994659260841701"/>
        </left>
        <right style="thin">
          <color theme="4" tint="-0.24994659260841701"/>
        </right>
        <top style="thin">
          <color theme="4" tint="-0.24994659260841701"/>
        </top>
        <bottom style="thin">
          <color theme="4" tint="-0.24994659260841701"/>
        </bottom>
      </border>
    </dxf>
    <dxf>
      <fill>
        <patternFill patternType="none">
          <bgColor auto="1"/>
        </patternFill>
      </fill>
    </dxf>
    <dxf>
      <fill>
        <patternFill patternType="none">
          <bgColor auto="1"/>
        </patternFill>
      </fill>
    </dxf>
    <dxf>
      <fill>
        <patternFill>
          <bgColor theme="9" tint="0.79998168889431442"/>
        </patternFill>
      </fill>
      <border diagonalUp="0" diagonalDown="0">
        <left/>
        <right/>
        <top/>
        <bottom/>
        <vertical/>
        <horizontal/>
      </border>
    </dxf>
  </dxfs>
  <tableStyles count="3" defaultTableStyle="Monthly Family Budget" defaultPivotStyle="PivotStyleLight16">
    <tableStyle name="ActualMonthlyIncome" pivot="0" count="3" xr9:uid="{00000000-0011-0000-FFFF-FFFF00000000}">
      <tableStyleElement type="wholeTable" dxfId="1341"/>
      <tableStyleElement type="headerRow" dxfId="1340"/>
      <tableStyleElement type="firstColumn" dxfId="1339"/>
    </tableStyle>
    <tableStyle name="Monthly Family Budget" pivot="0" count="4" xr9:uid="{00000000-0011-0000-FFFF-FFFF01000000}">
      <tableStyleElement type="wholeTable" dxfId="1338"/>
      <tableStyleElement type="headerRow" dxfId="1337"/>
      <tableStyleElement type="totalRow" dxfId="1336"/>
      <tableStyleElement type="firstRowStripe" dxfId="1335"/>
    </tableStyle>
    <tableStyle name="Regular Table" pivot="0" count="3" xr9:uid="{8190A730-28DA-42DC-94BB-5D4C9F32DE9E}">
      <tableStyleElement type="wholeTable" dxfId="1334"/>
      <tableStyleElement type="headerRow" dxfId="1333"/>
      <tableStyleElement type="totalRow" dxfId="133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2BC"/>
      <color rgb="FF0D65A0"/>
      <color rgb="FF292E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Percentage of Total Expenses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5969549413718563E-2"/>
          <c:y val="0.12430349307755115"/>
          <c:w val="0.71180605721626111"/>
          <c:h val="0.85044258979870779"/>
        </c:manualLayout>
      </c:layout>
      <c:pieChart>
        <c:varyColors val="1"/>
        <c:ser>
          <c:idx val="0"/>
          <c:order val="0"/>
          <c:tx>
            <c:strRef>
              <c:f>'Year - Overview'!$C$5</c:f>
              <c:strCache>
                <c:ptCount val="1"/>
                <c:pt idx="0">
                  <c:v>Budgeted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08B-4EEC-BB0B-D4803952641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08B-4EEC-BB0B-D4803952641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08B-4EEC-BB0B-D4803952641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08B-4EEC-BB0B-D4803952641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08B-4EEC-BB0B-D4803952641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08B-4EEC-BB0B-D4803952641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08B-4EEC-BB0B-D4803952641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08B-4EEC-BB0B-D4803952641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908B-4EEC-BB0B-D4803952641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08B-4EEC-BB0B-D48039526416}"/>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908B-4EEC-BB0B-D48039526416}"/>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908B-4EEC-BB0B-D48039526416}"/>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908B-4EEC-BB0B-D4803952641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'Year - Overview'!$B$6:$B$18</c:f>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f>'Year - Overview'!$C$6:$C$18</c:f>
              <c:numCache>
                <c:formatCode>"$"#,##0_);[Red]\("$"#,##0\)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55-7930-4EC7-98AA-591C6CE21FEE}"/>
            </c:ext>
          </c:extLst>
        </c:ser>
        <c:dLbls>
          <c:dLblPos val="bestFit"/>
          <c:showLegendKey val="0"/>
          <c:showVal val="1"/>
          <c:showCatName val="0"/>
          <c:showSerName val="0"/>
          <c:showPercent val="0"/>
          <c:showBubbleSize val="0"/>
          <c:showLeaderLines val="1"/>
        </c:dLbls>
        <c:firstSliceAng val="0"/>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Budgeted Costs vs. Actual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'April - Overview'!$C$5</c:f>
              <c:strCache>
                <c:ptCount val="1"/>
                <c:pt idx="0">
                  <c:v>Budgeted
cost</c:v>
                </c:pt>
              </c:strCache>
            </c:strRef>
          </c:tx>
          <c:spPr>
            <a:solidFill>
              <a:schemeClr val="accent1"/>
            </a:solidFill>
            <a:ln>
              <a:noFill/>
            </a:ln>
            <a:effectLst/>
          </c:spPr>
          <c:invertIfNegative val="0"/>
          <c:cat>
            <c:strRef>
              <c:f>'April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'April - Overview'!$C$6:$C$19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6F7E-4045-B2FB-0B7D95F877CD}"/>
            </c:ext>
          </c:extLst>
        </c:ser>
        <c:ser>
          <c:idx val="1"/>
          <c:order val="1"/>
          <c:tx>
            <c:strRef>
              <c:f>'April - Overview'!$D$5</c:f>
              <c:strCache>
                <c:ptCount val="1"/>
                <c:pt idx="0">
                  <c:v>Actual
cost</c:v>
                </c:pt>
              </c:strCache>
            </c:strRef>
          </c:tx>
          <c:spPr>
            <a:solidFill>
              <a:schemeClr val="accent2"/>
            </a:solidFill>
            <a:ln>
              <a:noFill/>
            </a:ln>
            <a:effectLst/>
          </c:spPr>
          <c:invertIfNegative val="0"/>
          <c:cat>
            <c:strRef>
              <c:f>'April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'April - Overview'!$D$6:$D$19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6F7E-4045-B2FB-0B7D95F877CD}"/>
            </c:ext>
          </c:extLst>
        </c:ser>
        <c:ser>
          <c:idx val="2"/>
          <c:order val="2"/>
          <c:tx>
            <c:strRef>
              <c:f>'April - Overview'!$E$5</c:f>
              <c:strCache>
                <c:ptCount val="1"/>
                <c:pt idx="0">
                  <c:v>Difference</c:v>
                </c:pt>
              </c:strCache>
            </c:strRef>
          </c:tx>
          <c:spPr>
            <a:solidFill>
              <a:schemeClr val="accent3"/>
            </a:solidFill>
            <a:ln>
              <a:noFill/>
            </a:ln>
            <a:effectLst/>
          </c:spPr>
          <c:invertIfNegative val="0"/>
          <c:cat>
            <c:strRef>
              <c:f>'April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'April - Overview'!$E$6:$E$19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6F7E-4045-B2FB-0B7D95F877CD}"/>
            </c:ext>
          </c:extLst>
        </c:ser>
        <c:dLbls>
          <c:showLegendKey val="0"/>
          <c:showVal val="0"/>
          <c:showCatName val="0"/>
          <c:showSerName val="0"/>
          <c:showPercent val="0"/>
          <c:showBubbleSize val="0"/>
        </c:dLbls>
        <c:gapWidth val="150"/>
        <c:overlap val="100"/>
        <c:axId val="1215507536"/>
        <c:axId val="1215502128"/>
      </c:barChart>
      <c:catAx>
        <c:axId val="121550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2128"/>
        <c:crosses val="autoZero"/>
        <c:auto val="1"/>
        <c:lblAlgn val="ctr"/>
        <c:lblOffset val="100"/>
        <c:noMultiLvlLbl val="0"/>
      </c:catAx>
      <c:valAx>
        <c:axId val="1215502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Percentage of Total Expenses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5969549413718563E-2"/>
          <c:y val="0.12430349307755115"/>
          <c:w val="0.71180605721626111"/>
          <c:h val="0.85044258979870779"/>
        </c:manualLayout>
      </c:layout>
      <c:pieChart>
        <c:varyColors val="1"/>
        <c:ser>
          <c:idx val="1"/>
          <c:order val="1"/>
          <c:tx>
            <c:strRef>
              <c:f>'May - Overview'!$D$5</c:f>
              <c:strCache>
                <c:ptCount val="1"/>
                <c:pt idx="0">
                  <c:v>Actual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90E-4514-9422-CB9B7BF13CF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90E-4514-9422-CB9B7BF13CF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90E-4514-9422-CB9B7BF13CF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90E-4514-9422-CB9B7BF13CF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90E-4514-9422-CB9B7BF13CF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90E-4514-9422-CB9B7BF13CF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90E-4514-9422-CB9B7BF13CF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90E-4514-9422-CB9B7BF13CF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90E-4514-9422-CB9B7BF13CFD}"/>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90E-4514-9422-CB9B7BF13CFD}"/>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E90E-4514-9422-CB9B7BF13CFD}"/>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E90E-4514-9422-CB9B7BF13CFD}"/>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E90E-4514-9422-CB9B7BF13CF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'May - Overview'!$B$6:$B$18</c:f>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f>'May - Overview'!$D$6:$D$18</c:f>
              <c:numCache>
                <c:formatCode>"$"#,##0_);[Red]\("$"#,##0\)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E90E-4514-9422-CB9B7BF13CFD}"/>
            </c:ext>
          </c:extLst>
        </c:ser>
        <c:dLbls>
          <c:dLblPos val="bestFit"/>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'May - Overview'!$C$5</c15:sqref>
                        </c15:formulaRef>
                      </c:ext>
                    </c:extLst>
                    <c:strCache>
                      <c:ptCount val="1"/>
                      <c:pt idx="0">
                        <c:v>Budgeted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E90E-4514-9422-CB9B7BF13CF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E-E90E-4514-9422-CB9B7BF13CF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0-E90E-4514-9422-CB9B7BF13CF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E90E-4514-9422-CB9B7BF13CF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4-E90E-4514-9422-CB9B7BF13CF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6-E90E-4514-9422-CB9B7BF13CF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8-E90E-4514-9422-CB9B7BF13CF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A-E90E-4514-9422-CB9B7BF13CF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C-E90E-4514-9422-CB9B7BF13CFD}"/>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E-E90E-4514-9422-CB9B7BF13CFD}"/>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0-E90E-4514-9422-CB9B7BF13CFD}"/>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2-E90E-4514-9422-CB9B7BF13CFD}"/>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4-E90E-4514-9422-CB9B7BF13CFD}"/>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6-E90E-4514-9422-CB9B7BF13CF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'May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c:ext uri="{02D57815-91ED-43cb-92C2-25804820EDAC}">
                        <c15:formulaRef>
                          <c15:sqref>'May - Overview'!$C$6:$C$19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7-E90E-4514-9422-CB9B7BF13CFD}"/>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'May - Overview'!$E$5</c15:sqref>
                        </c15:formulaRef>
                      </c:ext>
                    </c:extLst>
                    <c:strCache>
                      <c:ptCount val="1"/>
                      <c:pt idx="0">
                        <c:v>Difference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9-E90E-4514-9422-CB9B7BF13CF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B-E90E-4514-9422-CB9B7BF13CFD}"/>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D-E90E-4514-9422-CB9B7BF13CFD}"/>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F-E90E-4514-9422-CB9B7BF13CFD}"/>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1-E90E-4514-9422-CB9B7BF13CFD}"/>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43-E90E-4514-9422-CB9B7BF13CFD}"/>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5-E90E-4514-9422-CB9B7BF13CFD}"/>
                    </c:ext>
                  </c:extLst>
                </c:dPt>
                <c:dPt>
                  <c:idx val="7"/>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7-E90E-4514-9422-CB9B7BF13CFD}"/>
                    </c:ext>
                  </c:extLst>
                </c:dPt>
                <c:dPt>
                  <c:idx val="8"/>
                  <c:bubble3D val="0"/>
                  <c:spPr>
                    <a:solidFill>
                      <a:schemeClr val="accent3">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9-E90E-4514-9422-CB9B7BF13CFD}"/>
                    </c:ext>
                  </c:extLst>
                </c:dPt>
                <c:dPt>
                  <c:idx val="9"/>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B-E90E-4514-9422-CB9B7BF13CFD}"/>
                    </c:ext>
                  </c:extLst>
                </c:dPt>
                <c:dPt>
                  <c:idx val="10"/>
                  <c:bubble3D val="0"/>
                  <c:spPr>
                    <a:solidFill>
                      <a:schemeClr val="accent5">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D-E90E-4514-9422-CB9B7BF13CFD}"/>
                    </c:ext>
                  </c:extLst>
                </c:dPt>
                <c:dPt>
                  <c:idx val="11"/>
                  <c:bubble3D val="0"/>
                  <c:spPr>
                    <a:solidFill>
                      <a:schemeClr val="accent6">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F-E90E-4514-9422-CB9B7BF13CFD}"/>
                    </c:ext>
                  </c:extLst>
                </c:dPt>
                <c:dPt>
                  <c:idx val="12"/>
                  <c:bubble3D val="0"/>
                  <c:spPr>
                    <a:solidFill>
                      <a:schemeClr val="accent1">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1-E90E-4514-9422-CB9B7BF13CFD}"/>
                    </c:ext>
                  </c:extLst>
                </c:dPt>
                <c:dPt>
                  <c:idx val="13"/>
                  <c:bubble3D val="0"/>
                  <c:spPr>
                    <a:solidFill>
                      <a:schemeClr val="accent2">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3-E90E-4514-9422-CB9B7BF13CF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'May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xmlns:c15="http://schemas.microsoft.com/office/drawing/2012/chart">
                      <c:ext xmlns:c15="http://schemas.microsoft.com/office/drawing/2012/chart" uri="{02D57815-91ED-43cb-92C2-25804820EDAC}">
                        <c15:formulaRef>
                          <c15:sqref>'May - Overview'!$E$6:$E$19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5="http://schemas.microsoft.com/office/drawing/2012/chart">
                  <c:ext xmlns:c16="http://schemas.microsoft.com/office/drawing/2014/chart" uri="{C3380CC4-5D6E-409C-BE32-E72D297353CC}">
                    <c16:uniqueId val="{00000054-E90E-4514-9422-CB9B7BF13CFD}"/>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Budgeted Costs vs. Actual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'May - Overview'!$C$5</c:f>
              <c:strCache>
                <c:ptCount val="1"/>
                <c:pt idx="0">
                  <c:v>Budgeted
cost</c:v>
                </c:pt>
              </c:strCache>
            </c:strRef>
          </c:tx>
          <c:spPr>
            <a:solidFill>
              <a:schemeClr val="accent1"/>
            </a:solidFill>
            <a:ln>
              <a:noFill/>
            </a:ln>
            <a:effectLst/>
          </c:spPr>
          <c:invertIfNegative val="0"/>
          <c:cat>
            <c:strRef>
              <c:f>'May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'May - Overview'!$C$6:$C$19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3DEE-4B2B-94E7-C70F07B90EBB}"/>
            </c:ext>
          </c:extLst>
        </c:ser>
        <c:ser>
          <c:idx val="1"/>
          <c:order val="1"/>
          <c:tx>
            <c:strRef>
              <c:f>'May - Overview'!$D$5</c:f>
              <c:strCache>
                <c:ptCount val="1"/>
                <c:pt idx="0">
                  <c:v>Actual
cost</c:v>
                </c:pt>
              </c:strCache>
            </c:strRef>
          </c:tx>
          <c:spPr>
            <a:solidFill>
              <a:schemeClr val="accent2"/>
            </a:solidFill>
            <a:ln>
              <a:noFill/>
            </a:ln>
            <a:effectLst/>
          </c:spPr>
          <c:invertIfNegative val="0"/>
          <c:cat>
            <c:strRef>
              <c:f>'May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'May - Overview'!$D$6:$D$19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3DEE-4B2B-94E7-C70F07B90EBB}"/>
            </c:ext>
          </c:extLst>
        </c:ser>
        <c:ser>
          <c:idx val="2"/>
          <c:order val="2"/>
          <c:tx>
            <c:strRef>
              <c:f>'May - Overview'!$E$5</c:f>
              <c:strCache>
                <c:ptCount val="1"/>
                <c:pt idx="0">
                  <c:v>Difference</c:v>
                </c:pt>
              </c:strCache>
            </c:strRef>
          </c:tx>
          <c:spPr>
            <a:solidFill>
              <a:schemeClr val="accent3"/>
            </a:solidFill>
            <a:ln>
              <a:noFill/>
            </a:ln>
            <a:effectLst/>
          </c:spPr>
          <c:invertIfNegative val="0"/>
          <c:cat>
            <c:strRef>
              <c:f>'May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'May - Overview'!$E$6:$E$19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3DEE-4B2B-94E7-C70F07B90EBB}"/>
            </c:ext>
          </c:extLst>
        </c:ser>
        <c:dLbls>
          <c:showLegendKey val="0"/>
          <c:showVal val="0"/>
          <c:showCatName val="0"/>
          <c:showSerName val="0"/>
          <c:showPercent val="0"/>
          <c:showBubbleSize val="0"/>
        </c:dLbls>
        <c:gapWidth val="150"/>
        <c:overlap val="100"/>
        <c:axId val="1215507536"/>
        <c:axId val="1215502128"/>
      </c:barChart>
      <c:catAx>
        <c:axId val="121550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2128"/>
        <c:crosses val="autoZero"/>
        <c:auto val="1"/>
        <c:lblAlgn val="ctr"/>
        <c:lblOffset val="100"/>
        <c:noMultiLvlLbl val="0"/>
      </c:catAx>
      <c:valAx>
        <c:axId val="1215502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Percentage of Total Expenses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5969549413718563E-2"/>
          <c:y val="0.12430349307755115"/>
          <c:w val="0.71180605721626111"/>
          <c:h val="0.85044258979870779"/>
        </c:manualLayout>
      </c:layout>
      <c:pieChart>
        <c:varyColors val="1"/>
        <c:ser>
          <c:idx val="1"/>
          <c:order val="1"/>
          <c:tx>
            <c:strRef>
              <c:f>'June - Overview'!$D$5</c:f>
              <c:strCache>
                <c:ptCount val="1"/>
                <c:pt idx="0">
                  <c:v>Actual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0AD-4B9E-81E8-BE9F30AC2B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0AD-4B9E-81E8-BE9F30AC2B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0AD-4B9E-81E8-BE9F30AC2B8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0AD-4B9E-81E8-BE9F30AC2B8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0AD-4B9E-81E8-BE9F30AC2B8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0AD-4B9E-81E8-BE9F30AC2B8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0AD-4B9E-81E8-BE9F30AC2B8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10AD-4B9E-81E8-BE9F30AC2B8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10AD-4B9E-81E8-BE9F30AC2B8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10AD-4B9E-81E8-BE9F30AC2B85}"/>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10AD-4B9E-81E8-BE9F30AC2B85}"/>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10AD-4B9E-81E8-BE9F30AC2B85}"/>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10AD-4B9E-81E8-BE9F30AC2B8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'June - Overview'!$B$6:$B$18</c:f>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f>'June - Overview'!$D$6:$D$18</c:f>
              <c:numCache>
                <c:formatCode>"$"#,##0_);[Red]\("$"#,##0\)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10AD-4B9E-81E8-BE9F30AC2B85}"/>
            </c:ext>
          </c:extLst>
        </c:ser>
        <c:dLbls>
          <c:dLblPos val="bestFit"/>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'June - Overview'!$C$5</c15:sqref>
                        </c15:formulaRef>
                      </c:ext>
                    </c:extLst>
                    <c:strCache>
                      <c:ptCount val="1"/>
                      <c:pt idx="0">
                        <c:v>Budgeted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10AD-4B9E-81E8-BE9F30AC2B8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E-10AD-4B9E-81E8-BE9F30AC2B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0-10AD-4B9E-81E8-BE9F30AC2B8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10AD-4B9E-81E8-BE9F30AC2B8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4-10AD-4B9E-81E8-BE9F30AC2B8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6-10AD-4B9E-81E8-BE9F30AC2B8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8-10AD-4B9E-81E8-BE9F30AC2B8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A-10AD-4B9E-81E8-BE9F30AC2B8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C-10AD-4B9E-81E8-BE9F30AC2B8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E-10AD-4B9E-81E8-BE9F30AC2B85}"/>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0-10AD-4B9E-81E8-BE9F30AC2B85}"/>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2-10AD-4B9E-81E8-BE9F30AC2B85}"/>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4-10AD-4B9E-81E8-BE9F30AC2B85}"/>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6-10AD-4B9E-81E8-BE9F30AC2B8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'June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c:ext uri="{02D57815-91ED-43cb-92C2-25804820EDAC}">
                        <c15:formulaRef>
                          <c15:sqref>'June - Overview'!$C$6:$C$19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7-10AD-4B9E-81E8-BE9F30AC2B8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'June - Overview'!$E$5</c15:sqref>
                        </c15:formulaRef>
                      </c:ext>
                    </c:extLst>
                    <c:strCache>
                      <c:ptCount val="1"/>
                      <c:pt idx="0">
                        <c:v>Difference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9-10AD-4B9E-81E8-BE9F30AC2B85}"/>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B-10AD-4B9E-81E8-BE9F30AC2B85}"/>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D-10AD-4B9E-81E8-BE9F30AC2B85}"/>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F-10AD-4B9E-81E8-BE9F30AC2B85}"/>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1-10AD-4B9E-81E8-BE9F30AC2B85}"/>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43-10AD-4B9E-81E8-BE9F30AC2B85}"/>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5-10AD-4B9E-81E8-BE9F30AC2B85}"/>
                    </c:ext>
                  </c:extLst>
                </c:dPt>
                <c:dPt>
                  <c:idx val="7"/>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7-10AD-4B9E-81E8-BE9F30AC2B85}"/>
                    </c:ext>
                  </c:extLst>
                </c:dPt>
                <c:dPt>
                  <c:idx val="8"/>
                  <c:bubble3D val="0"/>
                  <c:spPr>
                    <a:solidFill>
                      <a:schemeClr val="accent3">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9-10AD-4B9E-81E8-BE9F30AC2B85}"/>
                    </c:ext>
                  </c:extLst>
                </c:dPt>
                <c:dPt>
                  <c:idx val="9"/>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B-10AD-4B9E-81E8-BE9F30AC2B85}"/>
                    </c:ext>
                  </c:extLst>
                </c:dPt>
                <c:dPt>
                  <c:idx val="10"/>
                  <c:bubble3D val="0"/>
                  <c:spPr>
                    <a:solidFill>
                      <a:schemeClr val="accent5">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D-10AD-4B9E-81E8-BE9F30AC2B85}"/>
                    </c:ext>
                  </c:extLst>
                </c:dPt>
                <c:dPt>
                  <c:idx val="11"/>
                  <c:bubble3D val="0"/>
                  <c:spPr>
                    <a:solidFill>
                      <a:schemeClr val="accent6">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F-10AD-4B9E-81E8-BE9F30AC2B85}"/>
                    </c:ext>
                  </c:extLst>
                </c:dPt>
                <c:dPt>
                  <c:idx val="12"/>
                  <c:bubble3D val="0"/>
                  <c:spPr>
                    <a:solidFill>
                      <a:schemeClr val="accent1">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1-10AD-4B9E-81E8-BE9F30AC2B85}"/>
                    </c:ext>
                  </c:extLst>
                </c:dPt>
                <c:dPt>
                  <c:idx val="13"/>
                  <c:bubble3D val="0"/>
                  <c:spPr>
                    <a:solidFill>
                      <a:schemeClr val="accent2">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3-10AD-4B9E-81E8-BE9F30AC2B8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'June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xmlns:c15="http://schemas.microsoft.com/office/drawing/2012/chart">
                      <c:ext xmlns:c15="http://schemas.microsoft.com/office/drawing/2012/chart" uri="{02D57815-91ED-43cb-92C2-25804820EDAC}">
                        <c15:formulaRef>
                          <c15:sqref>'June - Overview'!$E$6:$E$19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5="http://schemas.microsoft.com/office/drawing/2012/chart">
                  <c:ext xmlns:c16="http://schemas.microsoft.com/office/drawing/2014/chart" uri="{C3380CC4-5D6E-409C-BE32-E72D297353CC}">
                    <c16:uniqueId val="{00000054-10AD-4B9E-81E8-BE9F30AC2B85}"/>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Budgeted Costs vs. Actual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'June - Overview'!$C$5</c:f>
              <c:strCache>
                <c:ptCount val="1"/>
                <c:pt idx="0">
                  <c:v>Budgeted
cost</c:v>
                </c:pt>
              </c:strCache>
            </c:strRef>
          </c:tx>
          <c:spPr>
            <a:solidFill>
              <a:schemeClr val="accent1"/>
            </a:solidFill>
            <a:ln>
              <a:noFill/>
            </a:ln>
            <a:effectLst/>
          </c:spPr>
          <c:invertIfNegative val="0"/>
          <c:cat>
            <c:strRef>
              <c:f>'June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'June - Overview'!$C$6:$C$19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A946-46A7-8046-79CA335FF33F}"/>
            </c:ext>
          </c:extLst>
        </c:ser>
        <c:ser>
          <c:idx val="1"/>
          <c:order val="1"/>
          <c:tx>
            <c:strRef>
              <c:f>'June - Overview'!$D$5</c:f>
              <c:strCache>
                <c:ptCount val="1"/>
                <c:pt idx="0">
                  <c:v>Actual
cost</c:v>
                </c:pt>
              </c:strCache>
            </c:strRef>
          </c:tx>
          <c:spPr>
            <a:solidFill>
              <a:schemeClr val="accent2"/>
            </a:solidFill>
            <a:ln>
              <a:noFill/>
            </a:ln>
            <a:effectLst/>
          </c:spPr>
          <c:invertIfNegative val="0"/>
          <c:cat>
            <c:strRef>
              <c:f>'June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'June - Overview'!$D$6:$D$19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A946-46A7-8046-79CA335FF33F}"/>
            </c:ext>
          </c:extLst>
        </c:ser>
        <c:ser>
          <c:idx val="2"/>
          <c:order val="2"/>
          <c:tx>
            <c:strRef>
              <c:f>'June - Overview'!$E$5</c:f>
              <c:strCache>
                <c:ptCount val="1"/>
                <c:pt idx="0">
                  <c:v>Difference</c:v>
                </c:pt>
              </c:strCache>
            </c:strRef>
          </c:tx>
          <c:spPr>
            <a:solidFill>
              <a:schemeClr val="accent3"/>
            </a:solidFill>
            <a:ln>
              <a:noFill/>
            </a:ln>
            <a:effectLst/>
          </c:spPr>
          <c:invertIfNegative val="0"/>
          <c:cat>
            <c:strRef>
              <c:f>'June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'June - Overview'!$E$6:$E$19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A946-46A7-8046-79CA335FF33F}"/>
            </c:ext>
          </c:extLst>
        </c:ser>
        <c:dLbls>
          <c:showLegendKey val="0"/>
          <c:showVal val="0"/>
          <c:showCatName val="0"/>
          <c:showSerName val="0"/>
          <c:showPercent val="0"/>
          <c:showBubbleSize val="0"/>
        </c:dLbls>
        <c:gapWidth val="150"/>
        <c:overlap val="100"/>
        <c:axId val="1215507536"/>
        <c:axId val="1215502128"/>
      </c:barChart>
      <c:catAx>
        <c:axId val="121550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2128"/>
        <c:crosses val="autoZero"/>
        <c:auto val="1"/>
        <c:lblAlgn val="ctr"/>
        <c:lblOffset val="100"/>
        <c:noMultiLvlLbl val="0"/>
      </c:catAx>
      <c:valAx>
        <c:axId val="1215502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Percentage of Total Expenses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5969549413718563E-2"/>
          <c:y val="0.12430349307755115"/>
          <c:w val="0.71180605721626111"/>
          <c:h val="0.85044258979870779"/>
        </c:manualLayout>
      </c:layout>
      <c:pieChart>
        <c:varyColors val="1"/>
        <c:ser>
          <c:idx val="1"/>
          <c:order val="1"/>
          <c:tx>
            <c:strRef>
              <c:f>'July - Overview'!$D$5</c:f>
              <c:strCache>
                <c:ptCount val="1"/>
                <c:pt idx="0">
                  <c:v>Actual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549-4088-80C7-D549BA4DBCB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549-4088-80C7-D549BA4DBCB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549-4088-80C7-D549BA4DBCB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549-4088-80C7-D549BA4DBCB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549-4088-80C7-D549BA4DBCB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549-4088-80C7-D549BA4DBCB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549-4088-80C7-D549BA4DBCB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3549-4088-80C7-D549BA4DBCB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3549-4088-80C7-D549BA4DBCB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3549-4088-80C7-D549BA4DBCB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3549-4088-80C7-D549BA4DBCB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3549-4088-80C7-D549BA4DBCBF}"/>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3549-4088-80C7-D549BA4DBCB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'July - Overview'!$B$6:$B$18</c:f>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f>'July - Overview'!$D$6:$D$18</c:f>
              <c:numCache>
                <c:formatCode>"$"#,##0_);[Red]\("$"#,##0\)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3549-4088-80C7-D549BA4DBCBF}"/>
            </c:ext>
          </c:extLst>
        </c:ser>
        <c:dLbls>
          <c:dLblPos val="bestFit"/>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'July - Overview'!$C$5</c15:sqref>
                        </c15:formulaRef>
                      </c:ext>
                    </c:extLst>
                    <c:strCache>
                      <c:ptCount val="1"/>
                      <c:pt idx="0">
                        <c:v>Budgeted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3549-4088-80C7-D549BA4DBCB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E-3549-4088-80C7-D549BA4DBCB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0-3549-4088-80C7-D549BA4DBCB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3549-4088-80C7-D549BA4DBCB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4-3549-4088-80C7-D549BA4DBCB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6-3549-4088-80C7-D549BA4DBCB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8-3549-4088-80C7-D549BA4DBCB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A-3549-4088-80C7-D549BA4DBCB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C-3549-4088-80C7-D549BA4DBCB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E-3549-4088-80C7-D549BA4DBCB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0-3549-4088-80C7-D549BA4DBCB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2-3549-4088-80C7-D549BA4DBCBF}"/>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4-3549-4088-80C7-D549BA4DBCBF}"/>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6-3549-4088-80C7-D549BA4DBCB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'July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c:ext uri="{02D57815-91ED-43cb-92C2-25804820EDAC}">
                        <c15:formulaRef>
                          <c15:sqref>'July - Overview'!$C$6:$C$19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7-3549-4088-80C7-D549BA4DBCBF}"/>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'July - Overview'!$E$5</c15:sqref>
                        </c15:formulaRef>
                      </c:ext>
                    </c:extLst>
                    <c:strCache>
                      <c:ptCount val="1"/>
                      <c:pt idx="0">
                        <c:v>Difference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9-3549-4088-80C7-D549BA4DBCB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B-3549-4088-80C7-D549BA4DBCB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D-3549-4088-80C7-D549BA4DBCB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F-3549-4088-80C7-D549BA4DBCB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1-3549-4088-80C7-D549BA4DBCB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43-3549-4088-80C7-D549BA4DBCBF}"/>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5-3549-4088-80C7-D549BA4DBCBF}"/>
                    </c:ext>
                  </c:extLst>
                </c:dPt>
                <c:dPt>
                  <c:idx val="7"/>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7-3549-4088-80C7-D549BA4DBCBF}"/>
                    </c:ext>
                  </c:extLst>
                </c:dPt>
                <c:dPt>
                  <c:idx val="8"/>
                  <c:bubble3D val="0"/>
                  <c:spPr>
                    <a:solidFill>
                      <a:schemeClr val="accent3">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9-3549-4088-80C7-D549BA4DBCBF}"/>
                    </c:ext>
                  </c:extLst>
                </c:dPt>
                <c:dPt>
                  <c:idx val="9"/>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B-3549-4088-80C7-D549BA4DBCBF}"/>
                    </c:ext>
                  </c:extLst>
                </c:dPt>
                <c:dPt>
                  <c:idx val="10"/>
                  <c:bubble3D val="0"/>
                  <c:spPr>
                    <a:solidFill>
                      <a:schemeClr val="accent5">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D-3549-4088-80C7-D549BA4DBCBF}"/>
                    </c:ext>
                  </c:extLst>
                </c:dPt>
                <c:dPt>
                  <c:idx val="11"/>
                  <c:bubble3D val="0"/>
                  <c:spPr>
                    <a:solidFill>
                      <a:schemeClr val="accent6">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F-3549-4088-80C7-D549BA4DBCBF}"/>
                    </c:ext>
                  </c:extLst>
                </c:dPt>
                <c:dPt>
                  <c:idx val="12"/>
                  <c:bubble3D val="0"/>
                  <c:spPr>
                    <a:solidFill>
                      <a:schemeClr val="accent1">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1-3549-4088-80C7-D549BA4DBCBF}"/>
                    </c:ext>
                  </c:extLst>
                </c:dPt>
                <c:dPt>
                  <c:idx val="13"/>
                  <c:bubble3D val="0"/>
                  <c:spPr>
                    <a:solidFill>
                      <a:schemeClr val="accent2">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3-3549-4088-80C7-D549BA4DBCB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'July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xmlns:c15="http://schemas.microsoft.com/office/drawing/2012/chart">
                      <c:ext xmlns:c15="http://schemas.microsoft.com/office/drawing/2012/chart" uri="{02D57815-91ED-43cb-92C2-25804820EDAC}">
                        <c15:formulaRef>
                          <c15:sqref>'July - Overview'!$E$6:$E$19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5="http://schemas.microsoft.com/office/drawing/2012/chart">
                  <c:ext xmlns:c16="http://schemas.microsoft.com/office/drawing/2014/chart" uri="{C3380CC4-5D6E-409C-BE32-E72D297353CC}">
                    <c16:uniqueId val="{00000054-3549-4088-80C7-D549BA4DBCBF}"/>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Budgeted Costs vs. Actual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'July - Overview'!$C$5</c:f>
              <c:strCache>
                <c:ptCount val="1"/>
                <c:pt idx="0">
                  <c:v>Budgeted
cost</c:v>
                </c:pt>
              </c:strCache>
            </c:strRef>
          </c:tx>
          <c:spPr>
            <a:solidFill>
              <a:schemeClr val="accent1"/>
            </a:solidFill>
            <a:ln>
              <a:noFill/>
            </a:ln>
            <a:effectLst/>
          </c:spPr>
          <c:invertIfNegative val="0"/>
          <c:cat>
            <c:strRef>
              <c:f>'July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'July - Overview'!$C$6:$C$19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9991-4C52-9F4C-0C5AA60D09ED}"/>
            </c:ext>
          </c:extLst>
        </c:ser>
        <c:ser>
          <c:idx val="1"/>
          <c:order val="1"/>
          <c:tx>
            <c:strRef>
              <c:f>'July - Overview'!$D$5</c:f>
              <c:strCache>
                <c:ptCount val="1"/>
                <c:pt idx="0">
                  <c:v>Actual
cost</c:v>
                </c:pt>
              </c:strCache>
            </c:strRef>
          </c:tx>
          <c:spPr>
            <a:solidFill>
              <a:schemeClr val="accent2"/>
            </a:solidFill>
            <a:ln>
              <a:noFill/>
            </a:ln>
            <a:effectLst/>
          </c:spPr>
          <c:invertIfNegative val="0"/>
          <c:cat>
            <c:strRef>
              <c:f>'July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'July - Overview'!$D$6:$D$19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9991-4C52-9F4C-0C5AA60D09ED}"/>
            </c:ext>
          </c:extLst>
        </c:ser>
        <c:ser>
          <c:idx val="2"/>
          <c:order val="2"/>
          <c:tx>
            <c:strRef>
              <c:f>'July - Overview'!$E$5</c:f>
              <c:strCache>
                <c:ptCount val="1"/>
                <c:pt idx="0">
                  <c:v>Difference</c:v>
                </c:pt>
              </c:strCache>
            </c:strRef>
          </c:tx>
          <c:spPr>
            <a:solidFill>
              <a:schemeClr val="accent3"/>
            </a:solidFill>
            <a:ln>
              <a:noFill/>
            </a:ln>
            <a:effectLst/>
          </c:spPr>
          <c:invertIfNegative val="0"/>
          <c:cat>
            <c:strRef>
              <c:f>'July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'July - Overview'!$E$6:$E$19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9991-4C52-9F4C-0C5AA60D09ED}"/>
            </c:ext>
          </c:extLst>
        </c:ser>
        <c:dLbls>
          <c:showLegendKey val="0"/>
          <c:showVal val="0"/>
          <c:showCatName val="0"/>
          <c:showSerName val="0"/>
          <c:showPercent val="0"/>
          <c:showBubbleSize val="0"/>
        </c:dLbls>
        <c:gapWidth val="150"/>
        <c:overlap val="100"/>
        <c:axId val="1215507536"/>
        <c:axId val="1215502128"/>
      </c:barChart>
      <c:catAx>
        <c:axId val="121550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2128"/>
        <c:crosses val="autoZero"/>
        <c:auto val="1"/>
        <c:lblAlgn val="ctr"/>
        <c:lblOffset val="100"/>
        <c:noMultiLvlLbl val="0"/>
      </c:catAx>
      <c:valAx>
        <c:axId val="1215502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Percentage of Total Expenses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5969549413718563E-2"/>
          <c:y val="0.12430349307755115"/>
          <c:w val="0.71180605721626111"/>
          <c:h val="0.85044258979870779"/>
        </c:manualLayout>
      </c:layout>
      <c:pieChart>
        <c:varyColors val="1"/>
        <c:ser>
          <c:idx val="1"/>
          <c:order val="1"/>
          <c:tx>
            <c:strRef>
              <c:f>'August - Overview'!$D$5</c:f>
              <c:strCache>
                <c:ptCount val="1"/>
                <c:pt idx="0">
                  <c:v>Actual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325-44D1-8A9F-938BA2B3A25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325-44D1-8A9F-938BA2B3A25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325-44D1-8A9F-938BA2B3A25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325-44D1-8A9F-938BA2B3A25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325-44D1-8A9F-938BA2B3A25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325-44D1-8A9F-938BA2B3A25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325-44D1-8A9F-938BA2B3A25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325-44D1-8A9F-938BA2B3A25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9325-44D1-8A9F-938BA2B3A25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325-44D1-8A9F-938BA2B3A25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9325-44D1-8A9F-938BA2B3A25B}"/>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9325-44D1-8A9F-938BA2B3A25B}"/>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9325-44D1-8A9F-938BA2B3A25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'August - Overview'!$B$6:$B$18</c:f>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f>'August - Overview'!$D$6:$D$18</c:f>
              <c:numCache>
                <c:formatCode>"$"#,##0_);[Red]\("$"#,##0\)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9325-44D1-8A9F-938BA2B3A25B}"/>
            </c:ext>
          </c:extLst>
        </c:ser>
        <c:dLbls>
          <c:dLblPos val="bestFit"/>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'August - Overview'!$C$5</c15:sqref>
                        </c15:formulaRef>
                      </c:ext>
                    </c:extLst>
                    <c:strCache>
                      <c:ptCount val="1"/>
                      <c:pt idx="0">
                        <c:v>Budgeted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9325-44D1-8A9F-938BA2B3A25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E-9325-44D1-8A9F-938BA2B3A25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0-9325-44D1-8A9F-938BA2B3A25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9325-44D1-8A9F-938BA2B3A25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4-9325-44D1-8A9F-938BA2B3A25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6-9325-44D1-8A9F-938BA2B3A25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8-9325-44D1-8A9F-938BA2B3A25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A-9325-44D1-8A9F-938BA2B3A25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C-9325-44D1-8A9F-938BA2B3A25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E-9325-44D1-8A9F-938BA2B3A25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0-9325-44D1-8A9F-938BA2B3A25B}"/>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2-9325-44D1-8A9F-938BA2B3A25B}"/>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4-9325-44D1-8A9F-938BA2B3A25B}"/>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6-9325-44D1-8A9F-938BA2B3A25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'August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c:ext uri="{02D57815-91ED-43cb-92C2-25804820EDAC}">
                        <c15:formulaRef>
                          <c15:sqref>'August - Overview'!$C$6:$C$19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7-9325-44D1-8A9F-938BA2B3A25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'August - Overview'!$E$5</c15:sqref>
                        </c15:formulaRef>
                      </c:ext>
                    </c:extLst>
                    <c:strCache>
                      <c:ptCount val="1"/>
                      <c:pt idx="0">
                        <c:v>Difference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9-9325-44D1-8A9F-938BA2B3A25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B-9325-44D1-8A9F-938BA2B3A25B}"/>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D-9325-44D1-8A9F-938BA2B3A25B}"/>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F-9325-44D1-8A9F-938BA2B3A25B}"/>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1-9325-44D1-8A9F-938BA2B3A25B}"/>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43-9325-44D1-8A9F-938BA2B3A25B}"/>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5-9325-44D1-8A9F-938BA2B3A25B}"/>
                    </c:ext>
                  </c:extLst>
                </c:dPt>
                <c:dPt>
                  <c:idx val="7"/>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7-9325-44D1-8A9F-938BA2B3A25B}"/>
                    </c:ext>
                  </c:extLst>
                </c:dPt>
                <c:dPt>
                  <c:idx val="8"/>
                  <c:bubble3D val="0"/>
                  <c:spPr>
                    <a:solidFill>
                      <a:schemeClr val="accent3">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9-9325-44D1-8A9F-938BA2B3A25B}"/>
                    </c:ext>
                  </c:extLst>
                </c:dPt>
                <c:dPt>
                  <c:idx val="9"/>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B-9325-44D1-8A9F-938BA2B3A25B}"/>
                    </c:ext>
                  </c:extLst>
                </c:dPt>
                <c:dPt>
                  <c:idx val="10"/>
                  <c:bubble3D val="0"/>
                  <c:spPr>
                    <a:solidFill>
                      <a:schemeClr val="accent5">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D-9325-44D1-8A9F-938BA2B3A25B}"/>
                    </c:ext>
                  </c:extLst>
                </c:dPt>
                <c:dPt>
                  <c:idx val="11"/>
                  <c:bubble3D val="0"/>
                  <c:spPr>
                    <a:solidFill>
                      <a:schemeClr val="accent6">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F-9325-44D1-8A9F-938BA2B3A25B}"/>
                    </c:ext>
                  </c:extLst>
                </c:dPt>
                <c:dPt>
                  <c:idx val="12"/>
                  <c:bubble3D val="0"/>
                  <c:spPr>
                    <a:solidFill>
                      <a:schemeClr val="accent1">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1-9325-44D1-8A9F-938BA2B3A25B}"/>
                    </c:ext>
                  </c:extLst>
                </c:dPt>
                <c:dPt>
                  <c:idx val="13"/>
                  <c:bubble3D val="0"/>
                  <c:spPr>
                    <a:solidFill>
                      <a:schemeClr val="accent2">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3-9325-44D1-8A9F-938BA2B3A25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'August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xmlns:c15="http://schemas.microsoft.com/office/drawing/2012/chart">
                      <c:ext xmlns:c15="http://schemas.microsoft.com/office/drawing/2012/chart" uri="{02D57815-91ED-43cb-92C2-25804820EDAC}">
                        <c15:formulaRef>
                          <c15:sqref>'August - Overview'!$E$6:$E$19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5="http://schemas.microsoft.com/office/drawing/2012/chart">
                  <c:ext xmlns:c16="http://schemas.microsoft.com/office/drawing/2014/chart" uri="{C3380CC4-5D6E-409C-BE32-E72D297353CC}">
                    <c16:uniqueId val="{00000054-9325-44D1-8A9F-938BA2B3A25B}"/>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Budgeted Costs vs. Actual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'August - Overview'!$C$5</c:f>
              <c:strCache>
                <c:ptCount val="1"/>
                <c:pt idx="0">
                  <c:v>Budgeted
cost</c:v>
                </c:pt>
              </c:strCache>
            </c:strRef>
          </c:tx>
          <c:spPr>
            <a:solidFill>
              <a:schemeClr val="accent1"/>
            </a:solidFill>
            <a:ln>
              <a:noFill/>
            </a:ln>
            <a:effectLst/>
          </c:spPr>
          <c:invertIfNegative val="0"/>
          <c:cat>
            <c:strRef>
              <c:f>'August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'August - Overview'!$C$6:$C$19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0E1A-4DA3-BD7E-525C4D38B0BD}"/>
            </c:ext>
          </c:extLst>
        </c:ser>
        <c:ser>
          <c:idx val="1"/>
          <c:order val="1"/>
          <c:tx>
            <c:strRef>
              <c:f>'August - Overview'!$D$5</c:f>
              <c:strCache>
                <c:ptCount val="1"/>
                <c:pt idx="0">
                  <c:v>Actual
cost</c:v>
                </c:pt>
              </c:strCache>
            </c:strRef>
          </c:tx>
          <c:spPr>
            <a:solidFill>
              <a:schemeClr val="accent2"/>
            </a:solidFill>
            <a:ln>
              <a:noFill/>
            </a:ln>
            <a:effectLst/>
          </c:spPr>
          <c:invertIfNegative val="0"/>
          <c:cat>
            <c:strRef>
              <c:f>'August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'August - Overview'!$D$6:$D$19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0E1A-4DA3-BD7E-525C4D38B0BD}"/>
            </c:ext>
          </c:extLst>
        </c:ser>
        <c:ser>
          <c:idx val="2"/>
          <c:order val="2"/>
          <c:tx>
            <c:strRef>
              <c:f>'August - Overview'!$E$5</c:f>
              <c:strCache>
                <c:ptCount val="1"/>
                <c:pt idx="0">
                  <c:v>Difference</c:v>
                </c:pt>
              </c:strCache>
            </c:strRef>
          </c:tx>
          <c:spPr>
            <a:solidFill>
              <a:schemeClr val="accent3"/>
            </a:solidFill>
            <a:ln>
              <a:noFill/>
            </a:ln>
            <a:effectLst/>
          </c:spPr>
          <c:invertIfNegative val="0"/>
          <c:cat>
            <c:strRef>
              <c:f>'August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'August - Overview'!$E$6:$E$19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0E1A-4DA3-BD7E-525C4D38B0BD}"/>
            </c:ext>
          </c:extLst>
        </c:ser>
        <c:dLbls>
          <c:showLegendKey val="0"/>
          <c:showVal val="0"/>
          <c:showCatName val="0"/>
          <c:showSerName val="0"/>
          <c:showPercent val="0"/>
          <c:showBubbleSize val="0"/>
        </c:dLbls>
        <c:gapWidth val="150"/>
        <c:overlap val="100"/>
        <c:axId val="1215507536"/>
        <c:axId val="1215502128"/>
      </c:barChart>
      <c:catAx>
        <c:axId val="121550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2128"/>
        <c:crosses val="autoZero"/>
        <c:auto val="1"/>
        <c:lblAlgn val="ctr"/>
        <c:lblOffset val="100"/>
        <c:noMultiLvlLbl val="0"/>
      </c:catAx>
      <c:valAx>
        <c:axId val="1215502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Percentage of Total Expenses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5969549413718563E-2"/>
          <c:y val="0.12430349307755115"/>
          <c:w val="0.71180605721626111"/>
          <c:h val="0.85044258979870779"/>
        </c:manualLayout>
      </c:layout>
      <c:pieChart>
        <c:varyColors val="1"/>
        <c:ser>
          <c:idx val="1"/>
          <c:order val="1"/>
          <c:tx>
            <c:strRef>
              <c:f>'September - Overview'!$D$5</c:f>
              <c:strCache>
                <c:ptCount val="1"/>
                <c:pt idx="0">
                  <c:v>Actual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CAA-4565-9C72-57E09D454D4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CAA-4565-9C72-57E09D454D4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CAA-4565-9C72-57E09D454D4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CAA-4565-9C72-57E09D454D4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CAA-4565-9C72-57E09D454D4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CAA-4565-9C72-57E09D454D4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8CAA-4565-9C72-57E09D454D4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8CAA-4565-9C72-57E09D454D4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8CAA-4565-9C72-57E09D454D4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8CAA-4565-9C72-57E09D454D47}"/>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CAA-4565-9C72-57E09D454D47}"/>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CAA-4565-9C72-57E09D454D47}"/>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8CAA-4565-9C72-57E09D454D4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'September - Overview'!$B$6:$B$18</c:f>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f>'September - Overview'!$D$6:$D$18</c:f>
              <c:numCache>
                <c:formatCode>"$"#,##0_);[Red]\("$"#,##0\)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8CAA-4565-9C72-57E09D454D47}"/>
            </c:ext>
          </c:extLst>
        </c:ser>
        <c:dLbls>
          <c:dLblPos val="bestFit"/>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'September - Overview'!$C$5</c15:sqref>
                        </c15:formulaRef>
                      </c:ext>
                    </c:extLst>
                    <c:strCache>
                      <c:ptCount val="1"/>
                      <c:pt idx="0">
                        <c:v>Budgeted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8CAA-4565-9C72-57E09D454D4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E-8CAA-4565-9C72-57E09D454D4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0-8CAA-4565-9C72-57E09D454D4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8CAA-4565-9C72-57E09D454D4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4-8CAA-4565-9C72-57E09D454D4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6-8CAA-4565-9C72-57E09D454D4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8-8CAA-4565-9C72-57E09D454D4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A-8CAA-4565-9C72-57E09D454D4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C-8CAA-4565-9C72-57E09D454D4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E-8CAA-4565-9C72-57E09D454D47}"/>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0-8CAA-4565-9C72-57E09D454D47}"/>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2-8CAA-4565-9C72-57E09D454D47}"/>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4-8CAA-4565-9C72-57E09D454D47}"/>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6-8CAA-4565-9C72-57E09D454D4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'September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c:ext uri="{02D57815-91ED-43cb-92C2-25804820EDAC}">
                        <c15:formulaRef>
                          <c15:sqref>'September - Overview'!$C$6:$C$19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7-8CAA-4565-9C72-57E09D454D47}"/>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'September - Overview'!$E$5</c15:sqref>
                        </c15:formulaRef>
                      </c:ext>
                    </c:extLst>
                    <c:strCache>
                      <c:ptCount val="1"/>
                      <c:pt idx="0">
                        <c:v>Difference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9-8CAA-4565-9C72-57E09D454D47}"/>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B-8CAA-4565-9C72-57E09D454D47}"/>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D-8CAA-4565-9C72-57E09D454D47}"/>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F-8CAA-4565-9C72-57E09D454D47}"/>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1-8CAA-4565-9C72-57E09D454D47}"/>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43-8CAA-4565-9C72-57E09D454D47}"/>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5-8CAA-4565-9C72-57E09D454D47}"/>
                    </c:ext>
                  </c:extLst>
                </c:dPt>
                <c:dPt>
                  <c:idx val="7"/>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7-8CAA-4565-9C72-57E09D454D47}"/>
                    </c:ext>
                  </c:extLst>
                </c:dPt>
                <c:dPt>
                  <c:idx val="8"/>
                  <c:bubble3D val="0"/>
                  <c:spPr>
                    <a:solidFill>
                      <a:schemeClr val="accent3">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9-8CAA-4565-9C72-57E09D454D47}"/>
                    </c:ext>
                  </c:extLst>
                </c:dPt>
                <c:dPt>
                  <c:idx val="9"/>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B-8CAA-4565-9C72-57E09D454D47}"/>
                    </c:ext>
                  </c:extLst>
                </c:dPt>
                <c:dPt>
                  <c:idx val="10"/>
                  <c:bubble3D val="0"/>
                  <c:spPr>
                    <a:solidFill>
                      <a:schemeClr val="accent5">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D-8CAA-4565-9C72-57E09D454D47}"/>
                    </c:ext>
                  </c:extLst>
                </c:dPt>
                <c:dPt>
                  <c:idx val="11"/>
                  <c:bubble3D val="0"/>
                  <c:spPr>
                    <a:solidFill>
                      <a:schemeClr val="accent6">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F-8CAA-4565-9C72-57E09D454D47}"/>
                    </c:ext>
                  </c:extLst>
                </c:dPt>
                <c:dPt>
                  <c:idx val="12"/>
                  <c:bubble3D val="0"/>
                  <c:spPr>
                    <a:solidFill>
                      <a:schemeClr val="accent1">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1-8CAA-4565-9C72-57E09D454D47}"/>
                    </c:ext>
                  </c:extLst>
                </c:dPt>
                <c:dPt>
                  <c:idx val="13"/>
                  <c:bubble3D val="0"/>
                  <c:spPr>
                    <a:solidFill>
                      <a:schemeClr val="accent2">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3-8CAA-4565-9C72-57E09D454D4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'September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xmlns:c15="http://schemas.microsoft.com/office/drawing/2012/chart">
                      <c:ext xmlns:c15="http://schemas.microsoft.com/office/drawing/2012/chart" uri="{02D57815-91ED-43cb-92C2-25804820EDAC}">
                        <c15:formulaRef>
                          <c15:sqref>'September - Overview'!$E$6:$E$19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5="http://schemas.microsoft.com/office/drawing/2012/chart">
                  <c:ext xmlns:c16="http://schemas.microsoft.com/office/drawing/2014/chart" uri="{C3380CC4-5D6E-409C-BE32-E72D297353CC}">
                    <c16:uniqueId val="{00000054-8CAA-4565-9C72-57E09D454D47}"/>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Budgeted Costs vs. Actual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'Year - Overview'!$C$5</c:f>
              <c:strCache>
                <c:ptCount val="1"/>
                <c:pt idx="0">
                  <c:v>Budgeted
cost</c:v>
                </c:pt>
              </c:strCache>
            </c:strRef>
          </c:tx>
          <c:spPr>
            <a:solidFill>
              <a:schemeClr val="accent1"/>
            </a:solidFill>
            <a:ln>
              <a:noFill/>
            </a:ln>
            <a:effectLst/>
          </c:spPr>
          <c:invertIfNegative val="0"/>
          <c:cat>
            <c:strRef>
              <c:f>'Year - Overview'!$B$6:$B$18</c:f>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f>'Year - Overview'!$C$6:$C$18</c:f>
              <c:numCache>
                <c:formatCode>"$"#,##0_);[Red]\("$"#,##0\)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B49A-4047-965B-4421546F3206}"/>
            </c:ext>
          </c:extLst>
        </c:ser>
        <c:ser>
          <c:idx val="1"/>
          <c:order val="1"/>
          <c:tx>
            <c:strRef>
              <c:f>'Year - Overview'!$D$5</c:f>
              <c:strCache>
                <c:ptCount val="1"/>
                <c:pt idx="0">
                  <c:v>Actual
cost</c:v>
                </c:pt>
              </c:strCache>
            </c:strRef>
          </c:tx>
          <c:spPr>
            <a:solidFill>
              <a:schemeClr val="accent2"/>
            </a:solidFill>
            <a:ln>
              <a:noFill/>
            </a:ln>
            <a:effectLst/>
          </c:spPr>
          <c:invertIfNegative val="0"/>
          <c:cat>
            <c:strRef>
              <c:f>'Year - Overview'!$B$6:$B$18</c:f>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f>'Year - Overview'!$D$6:$D$18</c:f>
              <c:numCache>
                <c:formatCode>"$"#,##0_);[Red]\("$"#,##0\)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B49A-4047-965B-4421546F3206}"/>
            </c:ext>
          </c:extLst>
        </c:ser>
        <c:ser>
          <c:idx val="2"/>
          <c:order val="2"/>
          <c:tx>
            <c:strRef>
              <c:f>'Year - Overview'!$E$5</c:f>
              <c:strCache>
                <c:ptCount val="1"/>
                <c:pt idx="0">
                  <c:v>Difference</c:v>
                </c:pt>
              </c:strCache>
            </c:strRef>
          </c:tx>
          <c:spPr>
            <a:solidFill>
              <a:schemeClr val="accent3"/>
            </a:solidFill>
            <a:ln>
              <a:noFill/>
            </a:ln>
            <a:effectLst/>
          </c:spPr>
          <c:invertIfNegative val="0"/>
          <c:cat>
            <c:strRef>
              <c:f>'Year - Overview'!$B$6:$B$18</c:f>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f>'Year - Overview'!$E$6:$E$18</c:f>
              <c:numCache>
                <c:formatCode>"$"#,##0_);[Red]\("$"#,##0\)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B49A-4047-965B-4421546F3206}"/>
            </c:ext>
          </c:extLst>
        </c:ser>
        <c:dLbls>
          <c:showLegendKey val="0"/>
          <c:showVal val="0"/>
          <c:showCatName val="0"/>
          <c:showSerName val="0"/>
          <c:showPercent val="0"/>
          <c:showBubbleSize val="0"/>
        </c:dLbls>
        <c:gapWidth val="150"/>
        <c:overlap val="100"/>
        <c:axId val="1215507536"/>
        <c:axId val="1215502128"/>
      </c:barChart>
      <c:catAx>
        <c:axId val="121550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2128"/>
        <c:crosses val="autoZero"/>
        <c:auto val="1"/>
        <c:lblAlgn val="ctr"/>
        <c:lblOffset val="100"/>
        <c:noMultiLvlLbl val="0"/>
      </c:catAx>
      <c:valAx>
        <c:axId val="1215502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Budgeted Costs vs. Actual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'September - Overview'!$C$5</c:f>
              <c:strCache>
                <c:ptCount val="1"/>
                <c:pt idx="0">
                  <c:v>Budgeted
cost</c:v>
                </c:pt>
              </c:strCache>
            </c:strRef>
          </c:tx>
          <c:spPr>
            <a:solidFill>
              <a:schemeClr val="accent1"/>
            </a:solidFill>
            <a:ln>
              <a:noFill/>
            </a:ln>
            <a:effectLst/>
          </c:spPr>
          <c:invertIfNegative val="0"/>
          <c:cat>
            <c:strRef>
              <c:f>'September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'September - Overview'!$C$6:$C$19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EF8C-487F-9682-C83297B2AF8A}"/>
            </c:ext>
          </c:extLst>
        </c:ser>
        <c:ser>
          <c:idx val="1"/>
          <c:order val="1"/>
          <c:tx>
            <c:strRef>
              <c:f>'September - Overview'!$D$5</c:f>
              <c:strCache>
                <c:ptCount val="1"/>
                <c:pt idx="0">
                  <c:v>Actual
cost</c:v>
                </c:pt>
              </c:strCache>
            </c:strRef>
          </c:tx>
          <c:spPr>
            <a:solidFill>
              <a:schemeClr val="accent2"/>
            </a:solidFill>
            <a:ln>
              <a:noFill/>
            </a:ln>
            <a:effectLst/>
          </c:spPr>
          <c:invertIfNegative val="0"/>
          <c:cat>
            <c:strRef>
              <c:f>'September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'September - Overview'!$D$6:$D$19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EF8C-487F-9682-C83297B2AF8A}"/>
            </c:ext>
          </c:extLst>
        </c:ser>
        <c:ser>
          <c:idx val="2"/>
          <c:order val="2"/>
          <c:tx>
            <c:strRef>
              <c:f>'September - Overview'!$E$5</c:f>
              <c:strCache>
                <c:ptCount val="1"/>
                <c:pt idx="0">
                  <c:v>Difference</c:v>
                </c:pt>
              </c:strCache>
            </c:strRef>
          </c:tx>
          <c:spPr>
            <a:solidFill>
              <a:schemeClr val="accent3"/>
            </a:solidFill>
            <a:ln>
              <a:noFill/>
            </a:ln>
            <a:effectLst/>
          </c:spPr>
          <c:invertIfNegative val="0"/>
          <c:cat>
            <c:strRef>
              <c:f>'September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'September - Overview'!$E$6:$E$19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EF8C-487F-9682-C83297B2AF8A}"/>
            </c:ext>
          </c:extLst>
        </c:ser>
        <c:dLbls>
          <c:showLegendKey val="0"/>
          <c:showVal val="0"/>
          <c:showCatName val="0"/>
          <c:showSerName val="0"/>
          <c:showPercent val="0"/>
          <c:showBubbleSize val="0"/>
        </c:dLbls>
        <c:gapWidth val="150"/>
        <c:overlap val="100"/>
        <c:axId val="1215507536"/>
        <c:axId val="1215502128"/>
      </c:barChart>
      <c:catAx>
        <c:axId val="121550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2128"/>
        <c:crosses val="autoZero"/>
        <c:auto val="1"/>
        <c:lblAlgn val="ctr"/>
        <c:lblOffset val="100"/>
        <c:noMultiLvlLbl val="0"/>
      </c:catAx>
      <c:valAx>
        <c:axId val="1215502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Percentage of Total Expenses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5969549413718563E-2"/>
          <c:y val="0.12430349307755115"/>
          <c:w val="0.71180605721626111"/>
          <c:h val="0.85044258979870779"/>
        </c:manualLayout>
      </c:layout>
      <c:pieChart>
        <c:varyColors val="1"/>
        <c:ser>
          <c:idx val="1"/>
          <c:order val="1"/>
          <c:tx>
            <c:strRef>
              <c:f>'October - Overview'!$D$5</c:f>
              <c:strCache>
                <c:ptCount val="1"/>
                <c:pt idx="0">
                  <c:v>Actual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03D-41C6-8F9B-4044DA1FE1E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03D-41C6-8F9B-4044DA1FE1E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03D-41C6-8F9B-4044DA1FE1E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03D-41C6-8F9B-4044DA1FE1E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03D-41C6-8F9B-4044DA1FE1E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03D-41C6-8F9B-4044DA1FE1E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03D-41C6-8F9B-4044DA1FE1E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03D-41C6-8F9B-4044DA1FE1E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03D-41C6-8F9B-4044DA1FE1E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03D-41C6-8F9B-4044DA1FE1E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F03D-41C6-8F9B-4044DA1FE1E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F03D-41C6-8F9B-4044DA1FE1EC}"/>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F03D-41C6-8F9B-4044DA1FE1E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'October - Overview'!$B$6:$B$18</c:f>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f>'October - Overview'!$D$6:$D$18</c:f>
              <c:numCache>
                <c:formatCode>"$"#,##0_);[Red]\("$"#,##0\)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F03D-41C6-8F9B-4044DA1FE1EC}"/>
            </c:ext>
          </c:extLst>
        </c:ser>
        <c:dLbls>
          <c:dLblPos val="bestFit"/>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'October - Overview'!$C$5</c15:sqref>
                        </c15:formulaRef>
                      </c:ext>
                    </c:extLst>
                    <c:strCache>
                      <c:ptCount val="1"/>
                      <c:pt idx="0">
                        <c:v>Budgeted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F03D-41C6-8F9B-4044DA1FE1E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E-F03D-41C6-8F9B-4044DA1FE1E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0-F03D-41C6-8F9B-4044DA1FE1E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F03D-41C6-8F9B-4044DA1FE1E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4-F03D-41C6-8F9B-4044DA1FE1E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6-F03D-41C6-8F9B-4044DA1FE1E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8-F03D-41C6-8F9B-4044DA1FE1E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A-F03D-41C6-8F9B-4044DA1FE1E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C-F03D-41C6-8F9B-4044DA1FE1E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E-F03D-41C6-8F9B-4044DA1FE1E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0-F03D-41C6-8F9B-4044DA1FE1E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2-F03D-41C6-8F9B-4044DA1FE1EC}"/>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4-F03D-41C6-8F9B-4044DA1FE1EC}"/>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6-F03D-41C6-8F9B-4044DA1FE1E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'October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c:ext uri="{02D57815-91ED-43cb-92C2-25804820EDAC}">
                        <c15:formulaRef>
                          <c15:sqref>'October - Overview'!$C$6:$C$19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7-F03D-41C6-8F9B-4044DA1FE1E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'October - Overview'!$E$5</c15:sqref>
                        </c15:formulaRef>
                      </c:ext>
                    </c:extLst>
                    <c:strCache>
                      <c:ptCount val="1"/>
                      <c:pt idx="0">
                        <c:v>Difference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9-F03D-41C6-8F9B-4044DA1FE1EC}"/>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B-F03D-41C6-8F9B-4044DA1FE1EC}"/>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D-F03D-41C6-8F9B-4044DA1FE1EC}"/>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F-F03D-41C6-8F9B-4044DA1FE1EC}"/>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1-F03D-41C6-8F9B-4044DA1FE1EC}"/>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43-F03D-41C6-8F9B-4044DA1FE1EC}"/>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5-F03D-41C6-8F9B-4044DA1FE1EC}"/>
                    </c:ext>
                  </c:extLst>
                </c:dPt>
                <c:dPt>
                  <c:idx val="7"/>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7-F03D-41C6-8F9B-4044DA1FE1EC}"/>
                    </c:ext>
                  </c:extLst>
                </c:dPt>
                <c:dPt>
                  <c:idx val="8"/>
                  <c:bubble3D val="0"/>
                  <c:spPr>
                    <a:solidFill>
                      <a:schemeClr val="accent3">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9-F03D-41C6-8F9B-4044DA1FE1EC}"/>
                    </c:ext>
                  </c:extLst>
                </c:dPt>
                <c:dPt>
                  <c:idx val="9"/>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B-F03D-41C6-8F9B-4044DA1FE1EC}"/>
                    </c:ext>
                  </c:extLst>
                </c:dPt>
                <c:dPt>
                  <c:idx val="10"/>
                  <c:bubble3D val="0"/>
                  <c:spPr>
                    <a:solidFill>
                      <a:schemeClr val="accent5">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D-F03D-41C6-8F9B-4044DA1FE1EC}"/>
                    </c:ext>
                  </c:extLst>
                </c:dPt>
                <c:dPt>
                  <c:idx val="11"/>
                  <c:bubble3D val="0"/>
                  <c:spPr>
                    <a:solidFill>
                      <a:schemeClr val="accent6">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F-F03D-41C6-8F9B-4044DA1FE1EC}"/>
                    </c:ext>
                  </c:extLst>
                </c:dPt>
                <c:dPt>
                  <c:idx val="12"/>
                  <c:bubble3D val="0"/>
                  <c:spPr>
                    <a:solidFill>
                      <a:schemeClr val="accent1">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1-F03D-41C6-8F9B-4044DA1FE1EC}"/>
                    </c:ext>
                  </c:extLst>
                </c:dPt>
                <c:dPt>
                  <c:idx val="13"/>
                  <c:bubble3D val="0"/>
                  <c:spPr>
                    <a:solidFill>
                      <a:schemeClr val="accent2">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3-F03D-41C6-8F9B-4044DA1FE1E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'October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xmlns:c15="http://schemas.microsoft.com/office/drawing/2012/chart">
                      <c:ext xmlns:c15="http://schemas.microsoft.com/office/drawing/2012/chart" uri="{02D57815-91ED-43cb-92C2-25804820EDAC}">
                        <c15:formulaRef>
                          <c15:sqref>'October - Overview'!$E$6:$E$19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5="http://schemas.microsoft.com/office/drawing/2012/chart">
                  <c:ext xmlns:c16="http://schemas.microsoft.com/office/drawing/2014/chart" uri="{C3380CC4-5D6E-409C-BE32-E72D297353CC}">
                    <c16:uniqueId val="{00000054-F03D-41C6-8F9B-4044DA1FE1EC}"/>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Budgeted Costs vs. Actual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'October - Overview'!$C$5</c:f>
              <c:strCache>
                <c:ptCount val="1"/>
                <c:pt idx="0">
                  <c:v>Budgeted
cost</c:v>
                </c:pt>
              </c:strCache>
            </c:strRef>
          </c:tx>
          <c:spPr>
            <a:solidFill>
              <a:schemeClr val="accent1"/>
            </a:solidFill>
            <a:ln>
              <a:noFill/>
            </a:ln>
            <a:effectLst/>
          </c:spPr>
          <c:invertIfNegative val="0"/>
          <c:cat>
            <c:strRef>
              <c:f>'October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'October - Overview'!$C$6:$C$19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CF3B-46C0-85BC-11F726567986}"/>
            </c:ext>
          </c:extLst>
        </c:ser>
        <c:ser>
          <c:idx val="1"/>
          <c:order val="1"/>
          <c:tx>
            <c:strRef>
              <c:f>'October - Overview'!$D$5</c:f>
              <c:strCache>
                <c:ptCount val="1"/>
                <c:pt idx="0">
                  <c:v>Actual
cost</c:v>
                </c:pt>
              </c:strCache>
            </c:strRef>
          </c:tx>
          <c:spPr>
            <a:solidFill>
              <a:schemeClr val="accent2"/>
            </a:solidFill>
            <a:ln>
              <a:noFill/>
            </a:ln>
            <a:effectLst/>
          </c:spPr>
          <c:invertIfNegative val="0"/>
          <c:cat>
            <c:strRef>
              <c:f>'October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'October - Overview'!$D$6:$D$19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CF3B-46C0-85BC-11F726567986}"/>
            </c:ext>
          </c:extLst>
        </c:ser>
        <c:ser>
          <c:idx val="2"/>
          <c:order val="2"/>
          <c:tx>
            <c:strRef>
              <c:f>'October - Overview'!$E$5</c:f>
              <c:strCache>
                <c:ptCount val="1"/>
                <c:pt idx="0">
                  <c:v>Difference</c:v>
                </c:pt>
              </c:strCache>
            </c:strRef>
          </c:tx>
          <c:spPr>
            <a:solidFill>
              <a:schemeClr val="accent3"/>
            </a:solidFill>
            <a:ln>
              <a:noFill/>
            </a:ln>
            <a:effectLst/>
          </c:spPr>
          <c:invertIfNegative val="0"/>
          <c:cat>
            <c:strRef>
              <c:f>'October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'October - Overview'!$E$6:$E$19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CF3B-46C0-85BC-11F726567986}"/>
            </c:ext>
          </c:extLst>
        </c:ser>
        <c:dLbls>
          <c:showLegendKey val="0"/>
          <c:showVal val="0"/>
          <c:showCatName val="0"/>
          <c:showSerName val="0"/>
          <c:showPercent val="0"/>
          <c:showBubbleSize val="0"/>
        </c:dLbls>
        <c:gapWidth val="150"/>
        <c:overlap val="100"/>
        <c:axId val="1215507536"/>
        <c:axId val="1215502128"/>
      </c:barChart>
      <c:catAx>
        <c:axId val="121550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2128"/>
        <c:crosses val="autoZero"/>
        <c:auto val="1"/>
        <c:lblAlgn val="ctr"/>
        <c:lblOffset val="100"/>
        <c:noMultiLvlLbl val="0"/>
      </c:catAx>
      <c:valAx>
        <c:axId val="1215502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Percentage of Total Expenses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5969549413718563E-2"/>
          <c:y val="0.12430349307755115"/>
          <c:w val="0.71180605721626111"/>
          <c:h val="0.85044258979870779"/>
        </c:manualLayout>
      </c:layout>
      <c:pieChart>
        <c:varyColors val="1"/>
        <c:ser>
          <c:idx val="1"/>
          <c:order val="1"/>
          <c:tx>
            <c:strRef>
              <c:f>'November - Overview'!$D$5</c:f>
              <c:strCache>
                <c:ptCount val="1"/>
                <c:pt idx="0">
                  <c:v>Actual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793-46B0-B818-6C07F616D46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793-46B0-B818-6C07F616D46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793-46B0-B818-6C07F616D46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793-46B0-B818-6C07F616D46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793-46B0-B818-6C07F616D46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793-46B0-B818-6C07F616D46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8793-46B0-B818-6C07F616D46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8793-46B0-B818-6C07F616D46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8793-46B0-B818-6C07F616D46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8793-46B0-B818-6C07F616D466}"/>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793-46B0-B818-6C07F616D466}"/>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793-46B0-B818-6C07F616D466}"/>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8793-46B0-B818-6C07F616D46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'November - Overview'!$B$6:$B$18</c:f>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f>'November - Overview'!$D$6:$D$18</c:f>
              <c:numCache>
                <c:formatCode>"$"#,##0_);[Red]\("$"#,##0\)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8793-46B0-B818-6C07F616D466}"/>
            </c:ext>
          </c:extLst>
        </c:ser>
        <c:dLbls>
          <c:dLblPos val="bestFit"/>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'November - Overview'!$C$5</c15:sqref>
                        </c15:formulaRef>
                      </c:ext>
                    </c:extLst>
                    <c:strCache>
                      <c:ptCount val="1"/>
                      <c:pt idx="0">
                        <c:v>Budgeted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8793-46B0-B818-6C07F616D46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E-8793-46B0-B818-6C07F616D46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0-8793-46B0-B818-6C07F616D46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8793-46B0-B818-6C07F616D46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4-8793-46B0-B818-6C07F616D46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6-8793-46B0-B818-6C07F616D46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8-8793-46B0-B818-6C07F616D46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A-8793-46B0-B818-6C07F616D46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C-8793-46B0-B818-6C07F616D46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E-8793-46B0-B818-6C07F616D466}"/>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0-8793-46B0-B818-6C07F616D466}"/>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2-8793-46B0-B818-6C07F616D466}"/>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4-8793-46B0-B818-6C07F616D466}"/>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6-8793-46B0-B818-6C07F616D46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'November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c:ext uri="{02D57815-91ED-43cb-92C2-25804820EDAC}">
                        <c15:formulaRef>
                          <c15:sqref>'November - Overview'!$C$6:$C$19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7-8793-46B0-B818-6C07F616D46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'November - Overview'!$E$5</c15:sqref>
                        </c15:formulaRef>
                      </c:ext>
                    </c:extLst>
                    <c:strCache>
                      <c:ptCount val="1"/>
                      <c:pt idx="0">
                        <c:v>Difference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9-8793-46B0-B818-6C07F616D46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B-8793-46B0-B818-6C07F616D46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D-8793-46B0-B818-6C07F616D46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F-8793-46B0-B818-6C07F616D46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1-8793-46B0-B818-6C07F616D46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43-8793-46B0-B818-6C07F616D466}"/>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5-8793-46B0-B818-6C07F616D466}"/>
                    </c:ext>
                  </c:extLst>
                </c:dPt>
                <c:dPt>
                  <c:idx val="7"/>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7-8793-46B0-B818-6C07F616D466}"/>
                    </c:ext>
                  </c:extLst>
                </c:dPt>
                <c:dPt>
                  <c:idx val="8"/>
                  <c:bubble3D val="0"/>
                  <c:spPr>
                    <a:solidFill>
                      <a:schemeClr val="accent3">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9-8793-46B0-B818-6C07F616D466}"/>
                    </c:ext>
                  </c:extLst>
                </c:dPt>
                <c:dPt>
                  <c:idx val="9"/>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B-8793-46B0-B818-6C07F616D466}"/>
                    </c:ext>
                  </c:extLst>
                </c:dPt>
                <c:dPt>
                  <c:idx val="10"/>
                  <c:bubble3D val="0"/>
                  <c:spPr>
                    <a:solidFill>
                      <a:schemeClr val="accent5">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D-8793-46B0-B818-6C07F616D466}"/>
                    </c:ext>
                  </c:extLst>
                </c:dPt>
                <c:dPt>
                  <c:idx val="11"/>
                  <c:bubble3D val="0"/>
                  <c:spPr>
                    <a:solidFill>
                      <a:schemeClr val="accent6">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F-8793-46B0-B818-6C07F616D466}"/>
                    </c:ext>
                  </c:extLst>
                </c:dPt>
                <c:dPt>
                  <c:idx val="12"/>
                  <c:bubble3D val="0"/>
                  <c:spPr>
                    <a:solidFill>
                      <a:schemeClr val="accent1">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1-8793-46B0-B818-6C07F616D466}"/>
                    </c:ext>
                  </c:extLst>
                </c:dPt>
                <c:dPt>
                  <c:idx val="13"/>
                  <c:bubble3D val="0"/>
                  <c:spPr>
                    <a:solidFill>
                      <a:schemeClr val="accent2">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3-8793-46B0-B818-6C07F616D46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'November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xmlns:c15="http://schemas.microsoft.com/office/drawing/2012/chart">
                      <c:ext xmlns:c15="http://schemas.microsoft.com/office/drawing/2012/chart" uri="{02D57815-91ED-43cb-92C2-25804820EDAC}">
                        <c15:formulaRef>
                          <c15:sqref>'November - Overview'!$E$6:$E$19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5="http://schemas.microsoft.com/office/drawing/2012/chart">
                  <c:ext xmlns:c16="http://schemas.microsoft.com/office/drawing/2014/chart" uri="{C3380CC4-5D6E-409C-BE32-E72D297353CC}">
                    <c16:uniqueId val="{00000054-8793-46B0-B818-6C07F616D466}"/>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Budgeted Costs vs. Actual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'November - Overview'!$C$5</c:f>
              <c:strCache>
                <c:ptCount val="1"/>
                <c:pt idx="0">
                  <c:v>Budgeted
cost</c:v>
                </c:pt>
              </c:strCache>
            </c:strRef>
          </c:tx>
          <c:spPr>
            <a:solidFill>
              <a:schemeClr val="accent1"/>
            </a:solidFill>
            <a:ln>
              <a:noFill/>
            </a:ln>
            <a:effectLst/>
          </c:spPr>
          <c:invertIfNegative val="0"/>
          <c:cat>
            <c:strRef>
              <c:f>'November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'November - Overview'!$C$6:$C$19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144D-4EEE-BCED-CEDDC9F063F7}"/>
            </c:ext>
          </c:extLst>
        </c:ser>
        <c:ser>
          <c:idx val="1"/>
          <c:order val="1"/>
          <c:tx>
            <c:strRef>
              <c:f>'November - Overview'!$D$5</c:f>
              <c:strCache>
                <c:ptCount val="1"/>
                <c:pt idx="0">
                  <c:v>Actual
cost</c:v>
                </c:pt>
              </c:strCache>
            </c:strRef>
          </c:tx>
          <c:spPr>
            <a:solidFill>
              <a:schemeClr val="accent2"/>
            </a:solidFill>
            <a:ln>
              <a:noFill/>
            </a:ln>
            <a:effectLst/>
          </c:spPr>
          <c:invertIfNegative val="0"/>
          <c:cat>
            <c:strRef>
              <c:f>'November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'November - Overview'!$D$6:$D$19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144D-4EEE-BCED-CEDDC9F063F7}"/>
            </c:ext>
          </c:extLst>
        </c:ser>
        <c:ser>
          <c:idx val="2"/>
          <c:order val="2"/>
          <c:tx>
            <c:strRef>
              <c:f>'November - Overview'!$E$5</c:f>
              <c:strCache>
                <c:ptCount val="1"/>
                <c:pt idx="0">
                  <c:v>Difference</c:v>
                </c:pt>
              </c:strCache>
            </c:strRef>
          </c:tx>
          <c:spPr>
            <a:solidFill>
              <a:schemeClr val="accent3"/>
            </a:solidFill>
            <a:ln>
              <a:noFill/>
            </a:ln>
            <a:effectLst/>
          </c:spPr>
          <c:invertIfNegative val="0"/>
          <c:cat>
            <c:strRef>
              <c:f>'November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'November - Overview'!$E$6:$E$19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144D-4EEE-BCED-CEDDC9F063F7}"/>
            </c:ext>
          </c:extLst>
        </c:ser>
        <c:dLbls>
          <c:showLegendKey val="0"/>
          <c:showVal val="0"/>
          <c:showCatName val="0"/>
          <c:showSerName val="0"/>
          <c:showPercent val="0"/>
          <c:showBubbleSize val="0"/>
        </c:dLbls>
        <c:gapWidth val="150"/>
        <c:overlap val="100"/>
        <c:axId val="1215507536"/>
        <c:axId val="1215502128"/>
      </c:barChart>
      <c:catAx>
        <c:axId val="121550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2128"/>
        <c:crosses val="autoZero"/>
        <c:auto val="1"/>
        <c:lblAlgn val="ctr"/>
        <c:lblOffset val="100"/>
        <c:noMultiLvlLbl val="0"/>
      </c:catAx>
      <c:valAx>
        <c:axId val="1215502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Percentage of Total Expenses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5969549413718563E-2"/>
          <c:y val="0.12430349307755115"/>
          <c:w val="0.71180605721626111"/>
          <c:h val="0.85044258979870779"/>
        </c:manualLayout>
      </c:layout>
      <c:pieChart>
        <c:varyColors val="1"/>
        <c:ser>
          <c:idx val="1"/>
          <c:order val="1"/>
          <c:tx>
            <c:strRef>
              <c:f>'December - Overview'!$D$5</c:f>
              <c:strCache>
                <c:ptCount val="1"/>
                <c:pt idx="0">
                  <c:v>Actual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531-466C-87D2-8E571BBF573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531-466C-87D2-8E571BBF573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531-466C-87D2-8E571BBF573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531-466C-87D2-8E571BBF573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531-466C-87D2-8E571BBF573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531-466C-87D2-8E571BBF573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531-466C-87D2-8E571BBF573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3531-466C-87D2-8E571BBF5730}"/>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3531-466C-87D2-8E571BBF5730}"/>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3531-466C-87D2-8E571BBF5730}"/>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3531-466C-87D2-8E571BBF5730}"/>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3531-466C-87D2-8E571BBF5730}"/>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3531-466C-87D2-8E571BBF573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'December - Overview'!$B$6:$B$18</c:f>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f>'December - Overview'!$D$6:$D$18</c:f>
              <c:numCache>
                <c:formatCode>"$"#,##0_);[Red]\("$"#,##0\)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3531-466C-87D2-8E571BBF5730}"/>
            </c:ext>
          </c:extLst>
        </c:ser>
        <c:dLbls>
          <c:dLblPos val="bestFit"/>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'December - Overview'!$C$5</c15:sqref>
                        </c15:formulaRef>
                      </c:ext>
                    </c:extLst>
                    <c:strCache>
                      <c:ptCount val="1"/>
                      <c:pt idx="0">
                        <c:v>Budgeted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3531-466C-87D2-8E571BBF573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E-3531-466C-87D2-8E571BBF573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0-3531-466C-87D2-8E571BBF573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3531-466C-87D2-8E571BBF573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4-3531-466C-87D2-8E571BBF573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6-3531-466C-87D2-8E571BBF573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8-3531-466C-87D2-8E571BBF573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A-3531-466C-87D2-8E571BBF5730}"/>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C-3531-466C-87D2-8E571BBF5730}"/>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E-3531-466C-87D2-8E571BBF5730}"/>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0-3531-466C-87D2-8E571BBF5730}"/>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2-3531-466C-87D2-8E571BBF5730}"/>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4-3531-466C-87D2-8E571BBF5730}"/>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6-3531-466C-87D2-8E571BBF573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'December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c:ext uri="{02D57815-91ED-43cb-92C2-25804820EDAC}">
                        <c15:formulaRef>
                          <c15:sqref>'December - Overview'!$C$6:$C$19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7-3531-466C-87D2-8E571BBF573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'December - Overview'!$E$5</c15:sqref>
                        </c15:formulaRef>
                      </c:ext>
                    </c:extLst>
                    <c:strCache>
                      <c:ptCount val="1"/>
                      <c:pt idx="0">
                        <c:v>Difference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9-3531-466C-87D2-8E571BBF5730}"/>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B-3531-466C-87D2-8E571BBF5730}"/>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D-3531-466C-87D2-8E571BBF5730}"/>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F-3531-466C-87D2-8E571BBF5730}"/>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1-3531-466C-87D2-8E571BBF5730}"/>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43-3531-466C-87D2-8E571BBF5730}"/>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5-3531-466C-87D2-8E571BBF5730}"/>
                    </c:ext>
                  </c:extLst>
                </c:dPt>
                <c:dPt>
                  <c:idx val="7"/>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7-3531-466C-87D2-8E571BBF5730}"/>
                    </c:ext>
                  </c:extLst>
                </c:dPt>
                <c:dPt>
                  <c:idx val="8"/>
                  <c:bubble3D val="0"/>
                  <c:spPr>
                    <a:solidFill>
                      <a:schemeClr val="accent3">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9-3531-466C-87D2-8E571BBF5730}"/>
                    </c:ext>
                  </c:extLst>
                </c:dPt>
                <c:dPt>
                  <c:idx val="9"/>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B-3531-466C-87D2-8E571BBF5730}"/>
                    </c:ext>
                  </c:extLst>
                </c:dPt>
                <c:dPt>
                  <c:idx val="10"/>
                  <c:bubble3D val="0"/>
                  <c:spPr>
                    <a:solidFill>
                      <a:schemeClr val="accent5">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D-3531-466C-87D2-8E571BBF5730}"/>
                    </c:ext>
                  </c:extLst>
                </c:dPt>
                <c:dPt>
                  <c:idx val="11"/>
                  <c:bubble3D val="0"/>
                  <c:spPr>
                    <a:solidFill>
                      <a:schemeClr val="accent6">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F-3531-466C-87D2-8E571BBF5730}"/>
                    </c:ext>
                  </c:extLst>
                </c:dPt>
                <c:dPt>
                  <c:idx val="12"/>
                  <c:bubble3D val="0"/>
                  <c:spPr>
                    <a:solidFill>
                      <a:schemeClr val="accent1">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1-3531-466C-87D2-8E571BBF5730}"/>
                    </c:ext>
                  </c:extLst>
                </c:dPt>
                <c:dPt>
                  <c:idx val="13"/>
                  <c:bubble3D val="0"/>
                  <c:spPr>
                    <a:solidFill>
                      <a:schemeClr val="accent2">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3-3531-466C-87D2-8E571BBF573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'December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xmlns:c15="http://schemas.microsoft.com/office/drawing/2012/chart">
                      <c:ext xmlns:c15="http://schemas.microsoft.com/office/drawing/2012/chart" uri="{02D57815-91ED-43cb-92C2-25804820EDAC}">
                        <c15:formulaRef>
                          <c15:sqref>'December - Overview'!$E$6:$E$19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5="http://schemas.microsoft.com/office/drawing/2012/chart">
                  <c:ext xmlns:c16="http://schemas.microsoft.com/office/drawing/2014/chart" uri="{C3380CC4-5D6E-409C-BE32-E72D297353CC}">
                    <c16:uniqueId val="{00000054-3531-466C-87D2-8E571BBF5730}"/>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Budgeted Costs vs. Actual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'December - Overview'!$C$5</c:f>
              <c:strCache>
                <c:ptCount val="1"/>
                <c:pt idx="0">
                  <c:v>Budgeted
cost</c:v>
                </c:pt>
              </c:strCache>
            </c:strRef>
          </c:tx>
          <c:spPr>
            <a:solidFill>
              <a:schemeClr val="accent1"/>
            </a:solidFill>
            <a:ln>
              <a:noFill/>
            </a:ln>
            <a:effectLst/>
          </c:spPr>
          <c:invertIfNegative val="0"/>
          <c:cat>
            <c:strRef>
              <c:f>'December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'December - Overview'!$C$6:$C$19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3DD4-4B51-A10C-67E070F453C4}"/>
            </c:ext>
          </c:extLst>
        </c:ser>
        <c:ser>
          <c:idx val="1"/>
          <c:order val="1"/>
          <c:tx>
            <c:strRef>
              <c:f>'December - Overview'!$D$5</c:f>
              <c:strCache>
                <c:ptCount val="1"/>
                <c:pt idx="0">
                  <c:v>Actual
cost</c:v>
                </c:pt>
              </c:strCache>
            </c:strRef>
          </c:tx>
          <c:spPr>
            <a:solidFill>
              <a:schemeClr val="accent2"/>
            </a:solidFill>
            <a:ln>
              <a:noFill/>
            </a:ln>
            <a:effectLst/>
          </c:spPr>
          <c:invertIfNegative val="0"/>
          <c:cat>
            <c:strRef>
              <c:f>'December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'December - Overview'!$D$6:$D$19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3DD4-4B51-A10C-67E070F453C4}"/>
            </c:ext>
          </c:extLst>
        </c:ser>
        <c:ser>
          <c:idx val="2"/>
          <c:order val="2"/>
          <c:tx>
            <c:strRef>
              <c:f>'December - Overview'!$E$5</c:f>
              <c:strCache>
                <c:ptCount val="1"/>
                <c:pt idx="0">
                  <c:v>Difference</c:v>
                </c:pt>
              </c:strCache>
            </c:strRef>
          </c:tx>
          <c:spPr>
            <a:solidFill>
              <a:schemeClr val="accent3"/>
            </a:solidFill>
            <a:ln>
              <a:noFill/>
            </a:ln>
            <a:effectLst/>
          </c:spPr>
          <c:invertIfNegative val="0"/>
          <c:cat>
            <c:strRef>
              <c:f>'December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'December - Overview'!$E$6:$E$19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3DD4-4B51-A10C-67E070F453C4}"/>
            </c:ext>
          </c:extLst>
        </c:ser>
        <c:dLbls>
          <c:showLegendKey val="0"/>
          <c:showVal val="0"/>
          <c:showCatName val="0"/>
          <c:showSerName val="0"/>
          <c:showPercent val="0"/>
          <c:showBubbleSize val="0"/>
        </c:dLbls>
        <c:gapWidth val="150"/>
        <c:overlap val="100"/>
        <c:axId val="1215507536"/>
        <c:axId val="1215502128"/>
      </c:barChart>
      <c:catAx>
        <c:axId val="121550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2128"/>
        <c:crosses val="autoZero"/>
        <c:auto val="1"/>
        <c:lblAlgn val="ctr"/>
        <c:lblOffset val="100"/>
        <c:noMultiLvlLbl val="0"/>
      </c:catAx>
      <c:valAx>
        <c:axId val="1215502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Percentage of Total Expenses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5969549413718563E-2"/>
          <c:y val="0.12430349307755115"/>
          <c:w val="0.71180605721626111"/>
          <c:h val="0.85044258979870779"/>
        </c:manualLayout>
      </c:layout>
      <c:pieChart>
        <c:varyColors val="1"/>
        <c:ser>
          <c:idx val="1"/>
          <c:order val="1"/>
          <c:tx>
            <c:strRef>
              <c:f>'January - Overview'!$D$5</c:f>
              <c:strCache>
                <c:ptCount val="1"/>
                <c:pt idx="0">
                  <c:v>Actual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FC2-4B32-AFFF-697DAED3159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FC2-4B32-AFFF-697DAED3159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FC2-4B32-AFFF-697DAED3159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FC2-4B32-AFFF-697DAED3159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FC2-4B32-AFFF-697DAED3159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FC2-4B32-AFFF-697DAED3159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FC2-4B32-AFFF-697DAED3159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FC2-4B32-AFFF-697DAED3159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9FC2-4B32-AFFF-697DAED3159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FC2-4B32-AFFF-697DAED31597}"/>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9FC2-4B32-AFFF-697DAED31597}"/>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9FC2-4B32-AFFF-697DAED31597}"/>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9FC2-4B32-AFFF-697DAED3159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'January - Overview'!$B$6:$B$18</c:f>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f>'January - Overview'!$D$6:$D$18</c:f>
              <c:numCache>
                <c:formatCode>"$"#,##0_);[Red]\("$"#,##0\)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A053-4E41-A202-6159C9A8B475}"/>
            </c:ext>
          </c:extLst>
        </c:ser>
        <c:dLbls>
          <c:dLblPos val="bestFit"/>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'January - Overview'!$C$5</c15:sqref>
                        </c15:formulaRef>
                      </c:ext>
                    </c:extLst>
                    <c:strCache>
                      <c:ptCount val="1"/>
                      <c:pt idx="0">
                        <c:v>Budgeted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B-9FC2-4B32-AFFF-697DAED3159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D-9FC2-4B32-AFFF-697DAED3159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F-9FC2-4B32-AFFF-697DAED3159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1-9FC2-4B32-AFFF-697DAED3159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3-9FC2-4B32-AFFF-697DAED3159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5-9FC2-4B32-AFFF-697DAED3159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7-9FC2-4B32-AFFF-697DAED3159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9-9FC2-4B32-AFFF-697DAED3159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B-9FC2-4B32-AFFF-697DAED3159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D-9FC2-4B32-AFFF-697DAED31597}"/>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F-9FC2-4B32-AFFF-697DAED31597}"/>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1-9FC2-4B32-AFFF-697DAED31597}"/>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3-9FC2-4B32-AFFF-697DAED31597}"/>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5-9FC2-4B32-AFFF-697DAED3159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'January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c:ext uri="{02D57815-91ED-43cb-92C2-25804820EDAC}">
                        <c15:formulaRef>
                          <c15:sqref>'January - Overview'!$C$6:$C$19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A053-4E41-A202-6159C9A8B47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'January - Overview'!$E$5</c15:sqref>
                        </c15:formulaRef>
                      </c:ext>
                    </c:extLst>
                    <c:strCache>
                      <c:ptCount val="1"/>
                      <c:pt idx="0">
                        <c:v>Difference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7-9FC2-4B32-AFFF-697DAED31597}"/>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9-9FC2-4B32-AFFF-697DAED31597}"/>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B-9FC2-4B32-AFFF-697DAED31597}"/>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D-9FC2-4B32-AFFF-697DAED31597}"/>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F-9FC2-4B32-AFFF-697DAED31597}"/>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41-9FC2-4B32-AFFF-697DAED31597}"/>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3-9FC2-4B32-AFFF-697DAED31597}"/>
                    </c:ext>
                  </c:extLst>
                </c:dPt>
                <c:dPt>
                  <c:idx val="7"/>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5-9FC2-4B32-AFFF-697DAED31597}"/>
                    </c:ext>
                  </c:extLst>
                </c:dPt>
                <c:dPt>
                  <c:idx val="8"/>
                  <c:bubble3D val="0"/>
                  <c:spPr>
                    <a:solidFill>
                      <a:schemeClr val="accent3">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7-9FC2-4B32-AFFF-697DAED31597}"/>
                    </c:ext>
                  </c:extLst>
                </c:dPt>
                <c:dPt>
                  <c:idx val="9"/>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9-9FC2-4B32-AFFF-697DAED31597}"/>
                    </c:ext>
                  </c:extLst>
                </c:dPt>
                <c:dPt>
                  <c:idx val="10"/>
                  <c:bubble3D val="0"/>
                  <c:spPr>
                    <a:solidFill>
                      <a:schemeClr val="accent5">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B-9FC2-4B32-AFFF-697DAED31597}"/>
                    </c:ext>
                  </c:extLst>
                </c:dPt>
                <c:dPt>
                  <c:idx val="11"/>
                  <c:bubble3D val="0"/>
                  <c:spPr>
                    <a:solidFill>
                      <a:schemeClr val="accent6">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D-9FC2-4B32-AFFF-697DAED31597}"/>
                    </c:ext>
                  </c:extLst>
                </c:dPt>
                <c:dPt>
                  <c:idx val="12"/>
                  <c:bubble3D val="0"/>
                  <c:spPr>
                    <a:solidFill>
                      <a:schemeClr val="accent1">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4F-9FC2-4B32-AFFF-697DAED31597}"/>
                    </c:ext>
                  </c:extLst>
                </c:dPt>
                <c:dPt>
                  <c:idx val="13"/>
                  <c:bubble3D val="0"/>
                  <c:spPr>
                    <a:solidFill>
                      <a:schemeClr val="accent2">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1-9FC2-4B32-AFFF-697DAED3159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'January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xmlns:c15="http://schemas.microsoft.com/office/drawing/2012/chart">
                      <c:ext xmlns:c15="http://schemas.microsoft.com/office/drawing/2012/chart" uri="{02D57815-91ED-43cb-92C2-25804820EDAC}">
                        <c15:formulaRef>
                          <c15:sqref>'January - Overview'!$E$6:$E$19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5="http://schemas.microsoft.com/office/drawing/2012/chart">
                  <c:ext xmlns:c16="http://schemas.microsoft.com/office/drawing/2014/chart" uri="{C3380CC4-5D6E-409C-BE32-E72D297353CC}">
                    <c16:uniqueId val="{00000002-A053-4E41-A202-6159C9A8B475}"/>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Budgeted Costs vs. Actual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'January - Overview'!$C$5</c:f>
              <c:strCache>
                <c:ptCount val="1"/>
                <c:pt idx="0">
                  <c:v>Budgeted
cost</c:v>
                </c:pt>
              </c:strCache>
            </c:strRef>
          </c:tx>
          <c:spPr>
            <a:solidFill>
              <a:schemeClr val="accent1"/>
            </a:solidFill>
            <a:ln>
              <a:noFill/>
            </a:ln>
            <a:effectLst/>
          </c:spPr>
          <c:invertIfNegative val="0"/>
          <c:cat>
            <c:strRef>
              <c:f>'January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'January - Overview'!$C$6:$C$19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952E-493E-836E-74394D052D63}"/>
            </c:ext>
          </c:extLst>
        </c:ser>
        <c:ser>
          <c:idx val="1"/>
          <c:order val="1"/>
          <c:tx>
            <c:strRef>
              <c:f>'January - Overview'!$D$5</c:f>
              <c:strCache>
                <c:ptCount val="1"/>
                <c:pt idx="0">
                  <c:v>Actual
cost</c:v>
                </c:pt>
              </c:strCache>
            </c:strRef>
          </c:tx>
          <c:spPr>
            <a:solidFill>
              <a:schemeClr val="accent2"/>
            </a:solidFill>
            <a:ln>
              <a:noFill/>
            </a:ln>
            <a:effectLst/>
          </c:spPr>
          <c:invertIfNegative val="0"/>
          <c:cat>
            <c:strRef>
              <c:f>'January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'January - Overview'!$D$6:$D$19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952E-493E-836E-74394D052D63}"/>
            </c:ext>
          </c:extLst>
        </c:ser>
        <c:ser>
          <c:idx val="2"/>
          <c:order val="2"/>
          <c:tx>
            <c:strRef>
              <c:f>'January - Overview'!$E$5</c:f>
              <c:strCache>
                <c:ptCount val="1"/>
                <c:pt idx="0">
                  <c:v>Difference</c:v>
                </c:pt>
              </c:strCache>
            </c:strRef>
          </c:tx>
          <c:spPr>
            <a:solidFill>
              <a:schemeClr val="accent3"/>
            </a:solidFill>
            <a:ln>
              <a:noFill/>
            </a:ln>
            <a:effectLst/>
          </c:spPr>
          <c:invertIfNegative val="0"/>
          <c:cat>
            <c:strRef>
              <c:f>'January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'January - Overview'!$E$6:$E$19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952E-493E-836E-74394D052D63}"/>
            </c:ext>
          </c:extLst>
        </c:ser>
        <c:dLbls>
          <c:showLegendKey val="0"/>
          <c:showVal val="0"/>
          <c:showCatName val="0"/>
          <c:showSerName val="0"/>
          <c:showPercent val="0"/>
          <c:showBubbleSize val="0"/>
        </c:dLbls>
        <c:gapWidth val="150"/>
        <c:overlap val="100"/>
        <c:axId val="1215507536"/>
        <c:axId val="1215502128"/>
      </c:barChart>
      <c:catAx>
        <c:axId val="121550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2128"/>
        <c:crosses val="autoZero"/>
        <c:auto val="1"/>
        <c:lblAlgn val="ctr"/>
        <c:lblOffset val="100"/>
        <c:noMultiLvlLbl val="0"/>
      </c:catAx>
      <c:valAx>
        <c:axId val="1215502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Percentage of Total Expenses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5969549413718563E-2"/>
          <c:y val="0.12430349307755115"/>
          <c:w val="0.71180605721626111"/>
          <c:h val="0.85044258979870779"/>
        </c:manualLayout>
      </c:layout>
      <c:pieChart>
        <c:varyColors val="1"/>
        <c:ser>
          <c:idx val="1"/>
          <c:order val="1"/>
          <c:tx>
            <c:strRef>
              <c:f>'February - Overview'!$D$5</c:f>
              <c:strCache>
                <c:ptCount val="1"/>
                <c:pt idx="0">
                  <c:v>Actual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6AA-45CA-91CD-992CD4BC355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6AA-45CA-91CD-992CD4BC355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6AA-45CA-91CD-992CD4BC355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6AA-45CA-91CD-992CD4BC355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6AA-45CA-91CD-992CD4BC355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6AA-45CA-91CD-992CD4BC355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6AA-45CA-91CD-992CD4BC355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6AA-45CA-91CD-992CD4BC355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6AA-45CA-91CD-992CD4BC355D}"/>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6AA-45CA-91CD-992CD4BC355D}"/>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F6AA-45CA-91CD-992CD4BC355D}"/>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F6AA-45CA-91CD-992CD4BC355D}"/>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F6AA-45CA-91CD-992CD4BC355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'February - Overview'!$B$6:$B$18</c:f>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f>'February - Overview'!$D$6:$D$18</c:f>
              <c:numCache>
                <c:formatCode>"$"#,##0_);[Red]\("$"#,##0\)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F6AA-45CA-91CD-992CD4BC355D}"/>
            </c:ext>
          </c:extLst>
        </c:ser>
        <c:dLbls>
          <c:dLblPos val="bestFit"/>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'February - Overview'!$C$5</c15:sqref>
                        </c15:formulaRef>
                      </c:ext>
                    </c:extLst>
                    <c:strCache>
                      <c:ptCount val="1"/>
                      <c:pt idx="0">
                        <c:v>Budgeted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F6AA-45CA-91CD-992CD4BC355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E-F6AA-45CA-91CD-992CD4BC355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0-F6AA-45CA-91CD-992CD4BC355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F6AA-45CA-91CD-992CD4BC355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4-F6AA-45CA-91CD-992CD4BC355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6-F6AA-45CA-91CD-992CD4BC355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8-F6AA-45CA-91CD-992CD4BC355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A-F6AA-45CA-91CD-992CD4BC355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C-F6AA-45CA-91CD-992CD4BC355D}"/>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E-F6AA-45CA-91CD-992CD4BC355D}"/>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0-F6AA-45CA-91CD-992CD4BC355D}"/>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2-F6AA-45CA-91CD-992CD4BC355D}"/>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4-F6AA-45CA-91CD-992CD4BC355D}"/>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6-F6AA-45CA-91CD-992CD4BC355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'February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c:ext uri="{02D57815-91ED-43cb-92C2-25804820EDAC}">
                        <c15:formulaRef>
                          <c15:sqref>'February - Overview'!$C$6:$C$19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7-F6AA-45CA-91CD-992CD4BC355D}"/>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'February - Overview'!$E$5</c15:sqref>
                        </c15:formulaRef>
                      </c:ext>
                    </c:extLst>
                    <c:strCache>
                      <c:ptCount val="1"/>
                      <c:pt idx="0">
                        <c:v>Difference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9-F6AA-45CA-91CD-992CD4BC355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B-F6AA-45CA-91CD-992CD4BC355D}"/>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D-F6AA-45CA-91CD-992CD4BC355D}"/>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F-F6AA-45CA-91CD-992CD4BC355D}"/>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1-F6AA-45CA-91CD-992CD4BC355D}"/>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43-F6AA-45CA-91CD-992CD4BC355D}"/>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5-F6AA-45CA-91CD-992CD4BC355D}"/>
                    </c:ext>
                  </c:extLst>
                </c:dPt>
                <c:dPt>
                  <c:idx val="7"/>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7-F6AA-45CA-91CD-992CD4BC355D}"/>
                    </c:ext>
                  </c:extLst>
                </c:dPt>
                <c:dPt>
                  <c:idx val="8"/>
                  <c:bubble3D val="0"/>
                  <c:spPr>
                    <a:solidFill>
                      <a:schemeClr val="accent3">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9-F6AA-45CA-91CD-992CD4BC355D}"/>
                    </c:ext>
                  </c:extLst>
                </c:dPt>
                <c:dPt>
                  <c:idx val="9"/>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B-F6AA-45CA-91CD-992CD4BC355D}"/>
                    </c:ext>
                  </c:extLst>
                </c:dPt>
                <c:dPt>
                  <c:idx val="10"/>
                  <c:bubble3D val="0"/>
                  <c:spPr>
                    <a:solidFill>
                      <a:schemeClr val="accent5">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D-F6AA-45CA-91CD-992CD4BC355D}"/>
                    </c:ext>
                  </c:extLst>
                </c:dPt>
                <c:dPt>
                  <c:idx val="11"/>
                  <c:bubble3D val="0"/>
                  <c:spPr>
                    <a:solidFill>
                      <a:schemeClr val="accent6">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F-F6AA-45CA-91CD-992CD4BC355D}"/>
                    </c:ext>
                  </c:extLst>
                </c:dPt>
                <c:dPt>
                  <c:idx val="12"/>
                  <c:bubble3D val="0"/>
                  <c:spPr>
                    <a:solidFill>
                      <a:schemeClr val="accent1">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1-F6AA-45CA-91CD-992CD4BC355D}"/>
                    </c:ext>
                  </c:extLst>
                </c:dPt>
                <c:dPt>
                  <c:idx val="13"/>
                  <c:bubble3D val="0"/>
                  <c:spPr>
                    <a:solidFill>
                      <a:schemeClr val="accent2">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3-F6AA-45CA-91CD-992CD4BC355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'February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xmlns:c15="http://schemas.microsoft.com/office/drawing/2012/chart">
                      <c:ext xmlns:c15="http://schemas.microsoft.com/office/drawing/2012/chart" uri="{02D57815-91ED-43cb-92C2-25804820EDAC}">
                        <c15:formulaRef>
                          <c15:sqref>'February - Overview'!$E$6:$E$19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5="http://schemas.microsoft.com/office/drawing/2012/chart">
                  <c:ext xmlns:c16="http://schemas.microsoft.com/office/drawing/2014/chart" uri="{C3380CC4-5D6E-409C-BE32-E72D297353CC}">
                    <c16:uniqueId val="{00000054-F6AA-45CA-91CD-992CD4BC355D}"/>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Budgeted Costs vs. Actual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'February - Overview'!$C$5</c:f>
              <c:strCache>
                <c:ptCount val="1"/>
                <c:pt idx="0">
                  <c:v>Budgeted
cost</c:v>
                </c:pt>
              </c:strCache>
            </c:strRef>
          </c:tx>
          <c:spPr>
            <a:solidFill>
              <a:schemeClr val="accent1"/>
            </a:solidFill>
            <a:ln>
              <a:noFill/>
            </a:ln>
            <a:effectLst/>
          </c:spPr>
          <c:invertIfNegative val="0"/>
          <c:cat>
            <c:strRef>
              <c:f>'February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'February - Overview'!$C$6:$C$19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1D47-40D6-8A3E-05C87C666050}"/>
            </c:ext>
          </c:extLst>
        </c:ser>
        <c:ser>
          <c:idx val="1"/>
          <c:order val="1"/>
          <c:tx>
            <c:strRef>
              <c:f>'February - Overview'!$D$5</c:f>
              <c:strCache>
                <c:ptCount val="1"/>
                <c:pt idx="0">
                  <c:v>Actual
cost</c:v>
                </c:pt>
              </c:strCache>
            </c:strRef>
          </c:tx>
          <c:spPr>
            <a:solidFill>
              <a:schemeClr val="accent2"/>
            </a:solidFill>
            <a:ln>
              <a:noFill/>
            </a:ln>
            <a:effectLst/>
          </c:spPr>
          <c:invertIfNegative val="0"/>
          <c:cat>
            <c:strRef>
              <c:f>'February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'February - Overview'!$D$6:$D$19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1D47-40D6-8A3E-05C87C666050}"/>
            </c:ext>
          </c:extLst>
        </c:ser>
        <c:ser>
          <c:idx val="2"/>
          <c:order val="2"/>
          <c:tx>
            <c:strRef>
              <c:f>'February - Overview'!$E$5</c:f>
              <c:strCache>
                <c:ptCount val="1"/>
                <c:pt idx="0">
                  <c:v>Difference</c:v>
                </c:pt>
              </c:strCache>
            </c:strRef>
          </c:tx>
          <c:spPr>
            <a:solidFill>
              <a:schemeClr val="accent3"/>
            </a:solidFill>
            <a:ln>
              <a:noFill/>
            </a:ln>
            <a:effectLst/>
          </c:spPr>
          <c:invertIfNegative val="0"/>
          <c:cat>
            <c:strRef>
              <c:f>'February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'February - Overview'!$E$6:$E$19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1D47-40D6-8A3E-05C87C666050}"/>
            </c:ext>
          </c:extLst>
        </c:ser>
        <c:dLbls>
          <c:showLegendKey val="0"/>
          <c:showVal val="0"/>
          <c:showCatName val="0"/>
          <c:showSerName val="0"/>
          <c:showPercent val="0"/>
          <c:showBubbleSize val="0"/>
        </c:dLbls>
        <c:gapWidth val="150"/>
        <c:overlap val="100"/>
        <c:axId val="1215507536"/>
        <c:axId val="1215502128"/>
      </c:barChart>
      <c:catAx>
        <c:axId val="121550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2128"/>
        <c:crosses val="autoZero"/>
        <c:auto val="1"/>
        <c:lblAlgn val="ctr"/>
        <c:lblOffset val="100"/>
        <c:noMultiLvlLbl val="0"/>
      </c:catAx>
      <c:valAx>
        <c:axId val="1215502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Percentage of Total Expenses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5969549413718563E-2"/>
          <c:y val="0.12430349307755115"/>
          <c:w val="0.71180605721626111"/>
          <c:h val="0.85044258979870779"/>
        </c:manualLayout>
      </c:layout>
      <c:pieChart>
        <c:varyColors val="1"/>
        <c:ser>
          <c:idx val="1"/>
          <c:order val="1"/>
          <c:tx>
            <c:strRef>
              <c:f>'March - Overview'!$D$5</c:f>
              <c:strCache>
                <c:ptCount val="1"/>
                <c:pt idx="0">
                  <c:v>Actual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DC4-413C-8B73-C23DFFC597B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DC4-413C-8B73-C23DFFC597B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DC4-413C-8B73-C23DFFC597B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DC4-413C-8B73-C23DFFC597B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DC4-413C-8B73-C23DFFC597B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DC4-413C-8B73-C23DFFC597B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DC4-413C-8B73-C23DFFC597B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1DC4-413C-8B73-C23DFFC597B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1DC4-413C-8B73-C23DFFC597B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1DC4-413C-8B73-C23DFFC597B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1DC4-413C-8B73-C23DFFC597B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1DC4-413C-8B73-C23DFFC597BF}"/>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1DC4-413C-8B73-C23DFFC597B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'March - Overview'!$B$6:$B$18</c:f>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f>'March - Overview'!$D$6:$D$18</c:f>
              <c:numCache>
                <c:formatCode>"$"#,##0_);[Red]\("$"#,##0\)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1DC4-413C-8B73-C23DFFC597BF}"/>
            </c:ext>
          </c:extLst>
        </c:ser>
        <c:dLbls>
          <c:dLblPos val="bestFit"/>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'March - Overview'!$C$5</c15:sqref>
                        </c15:formulaRef>
                      </c:ext>
                    </c:extLst>
                    <c:strCache>
                      <c:ptCount val="1"/>
                      <c:pt idx="0">
                        <c:v>Budgeted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1DC4-413C-8B73-C23DFFC597B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E-1DC4-413C-8B73-C23DFFC597B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0-1DC4-413C-8B73-C23DFFC597B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1DC4-413C-8B73-C23DFFC597B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4-1DC4-413C-8B73-C23DFFC597B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6-1DC4-413C-8B73-C23DFFC597B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8-1DC4-413C-8B73-C23DFFC597B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A-1DC4-413C-8B73-C23DFFC597B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C-1DC4-413C-8B73-C23DFFC597B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E-1DC4-413C-8B73-C23DFFC597B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0-1DC4-413C-8B73-C23DFFC597BF}"/>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2-1DC4-413C-8B73-C23DFFC597BF}"/>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4-1DC4-413C-8B73-C23DFFC597BF}"/>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6-1DC4-413C-8B73-C23DFFC597B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'March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c:ext uri="{02D57815-91ED-43cb-92C2-25804820EDAC}">
                        <c15:formulaRef>
                          <c15:sqref>'March - Overview'!$C$6:$C$19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7-1DC4-413C-8B73-C23DFFC597BF}"/>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'March - Overview'!$E$5</c15:sqref>
                        </c15:formulaRef>
                      </c:ext>
                    </c:extLst>
                    <c:strCache>
                      <c:ptCount val="1"/>
                      <c:pt idx="0">
                        <c:v>Difference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9-1DC4-413C-8B73-C23DFFC597B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B-1DC4-413C-8B73-C23DFFC597B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D-1DC4-413C-8B73-C23DFFC597B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F-1DC4-413C-8B73-C23DFFC597B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1-1DC4-413C-8B73-C23DFFC597B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43-1DC4-413C-8B73-C23DFFC597BF}"/>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5-1DC4-413C-8B73-C23DFFC597BF}"/>
                    </c:ext>
                  </c:extLst>
                </c:dPt>
                <c:dPt>
                  <c:idx val="7"/>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7-1DC4-413C-8B73-C23DFFC597BF}"/>
                    </c:ext>
                  </c:extLst>
                </c:dPt>
                <c:dPt>
                  <c:idx val="8"/>
                  <c:bubble3D val="0"/>
                  <c:spPr>
                    <a:solidFill>
                      <a:schemeClr val="accent3">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9-1DC4-413C-8B73-C23DFFC597BF}"/>
                    </c:ext>
                  </c:extLst>
                </c:dPt>
                <c:dPt>
                  <c:idx val="9"/>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B-1DC4-413C-8B73-C23DFFC597BF}"/>
                    </c:ext>
                  </c:extLst>
                </c:dPt>
                <c:dPt>
                  <c:idx val="10"/>
                  <c:bubble3D val="0"/>
                  <c:spPr>
                    <a:solidFill>
                      <a:schemeClr val="accent5">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D-1DC4-413C-8B73-C23DFFC597BF}"/>
                    </c:ext>
                  </c:extLst>
                </c:dPt>
                <c:dPt>
                  <c:idx val="11"/>
                  <c:bubble3D val="0"/>
                  <c:spPr>
                    <a:solidFill>
                      <a:schemeClr val="accent6">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F-1DC4-413C-8B73-C23DFFC597BF}"/>
                    </c:ext>
                  </c:extLst>
                </c:dPt>
                <c:dPt>
                  <c:idx val="12"/>
                  <c:bubble3D val="0"/>
                  <c:spPr>
                    <a:solidFill>
                      <a:schemeClr val="accent1">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1-1DC4-413C-8B73-C23DFFC597BF}"/>
                    </c:ext>
                  </c:extLst>
                </c:dPt>
                <c:dPt>
                  <c:idx val="13"/>
                  <c:bubble3D val="0"/>
                  <c:spPr>
                    <a:solidFill>
                      <a:schemeClr val="accent2">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3-1DC4-413C-8B73-C23DFFC597B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'March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xmlns:c15="http://schemas.microsoft.com/office/drawing/2012/chart">
                      <c:ext xmlns:c15="http://schemas.microsoft.com/office/drawing/2012/chart" uri="{02D57815-91ED-43cb-92C2-25804820EDAC}">
                        <c15:formulaRef>
                          <c15:sqref>'March - Overview'!$E$6:$E$19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5="http://schemas.microsoft.com/office/drawing/2012/chart">
                  <c:ext xmlns:c16="http://schemas.microsoft.com/office/drawing/2014/chart" uri="{C3380CC4-5D6E-409C-BE32-E72D297353CC}">
                    <c16:uniqueId val="{00000054-1DC4-413C-8B73-C23DFFC597BF}"/>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Budgeted Costs vs. Actual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'March - Overview'!$C$5</c:f>
              <c:strCache>
                <c:ptCount val="1"/>
                <c:pt idx="0">
                  <c:v>Budgeted
cost</c:v>
                </c:pt>
              </c:strCache>
            </c:strRef>
          </c:tx>
          <c:spPr>
            <a:solidFill>
              <a:schemeClr val="accent1"/>
            </a:solidFill>
            <a:ln>
              <a:noFill/>
            </a:ln>
            <a:effectLst/>
          </c:spPr>
          <c:invertIfNegative val="0"/>
          <c:cat>
            <c:strRef>
              <c:f>'March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'March - Overview'!$C$6:$C$19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22BD-4332-9D98-152AE933330C}"/>
            </c:ext>
          </c:extLst>
        </c:ser>
        <c:ser>
          <c:idx val="1"/>
          <c:order val="1"/>
          <c:tx>
            <c:strRef>
              <c:f>'March - Overview'!$D$5</c:f>
              <c:strCache>
                <c:ptCount val="1"/>
                <c:pt idx="0">
                  <c:v>Actual
cost</c:v>
                </c:pt>
              </c:strCache>
            </c:strRef>
          </c:tx>
          <c:spPr>
            <a:solidFill>
              <a:schemeClr val="accent2"/>
            </a:solidFill>
            <a:ln>
              <a:noFill/>
            </a:ln>
            <a:effectLst/>
          </c:spPr>
          <c:invertIfNegative val="0"/>
          <c:cat>
            <c:strRef>
              <c:f>'March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'March - Overview'!$D$6:$D$19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22BD-4332-9D98-152AE933330C}"/>
            </c:ext>
          </c:extLst>
        </c:ser>
        <c:ser>
          <c:idx val="2"/>
          <c:order val="2"/>
          <c:tx>
            <c:strRef>
              <c:f>'March - Overview'!$E$5</c:f>
              <c:strCache>
                <c:ptCount val="1"/>
                <c:pt idx="0">
                  <c:v>Difference</c:v>
                </c:pt>
              </c:strCache>
            </c:strRef>
          </c:tx>
          <c:spPr>
            <a:solidFill>
              <a:schemeClr val="accent3"/>
            </a:solidFill>
            <a:ln>
              <a:noFill/>
            </a:ln>
            <a:effectLst/>
          </c:spPr>
          <c:invertIfNegative val="0"/>
          <c:cat>
            <c:strRef>
              <c:f>'March - Overview'!$B$6:$B$19</c:f>
              <c:strCache>
                <c:ptCount val="14"/>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pt idx="13">
                  <c:v>Total</c:v>
                </c:pt>
              </c:strCache>
            </c:strRef>
          </c:cat>
          <c:val>
            <c:numRef>
              <c:f>'March - Overview'!$E$6:$E$19</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22BD-4332-9D98-152AE933330C}"/>
            </c:ext>
          </c:extLst>
        </c:ser>
        <c:dLbls>
          <c:showLegendKey val="0"/>
          <c:showVal val="0"/>
          <c:showCatName val="0"/>
          <c:showSerName val="0"/>
          <c:showPercent val="0"/>
          <c:showBubbleSize val="0"/>
        </c:dLbls>
        <c:gapWidth val="150"/>
        <c:overlap val="100"/>
        <c:axId val="1215507536"/>
        <c:axId val="1215502128"/>
      </c:barChart>
      <c:catAx>
        <c:axId val="121550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2128"/>
        <c:crosses val="autoZero"/>
        <c:auto val="1"/>
        <c:lblAlgn val="ctr"/>
        <c:lblOffset val="100"/>
        <c:noMultiLvlLbl val="0"/>
      </c:catAx>
      <c:valAx>
        <c:axId val="1215502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550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Percentage of Total Expenses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5969549413718563E-2"/>
          <c:y val="0.12430349307755115"/>
          <c:w val="0.71180605721626111"/>
          <c:h val="0.85044258979870779"/>
        </c:manualLayout>
      </c:layout>
      <c:pieChart>
        <c:varyColors val="1"/>
        <c:ser>
          <c:idx val="1"/>
          <c:order val="1"/>
          <c:tx>
            <c:strRef>
              <c:f>'April - Overview'!$D$5</c:f>
              <c:strCache>
                <c:ptCount val="1"/>
                <c:pt idx="0">
                  <c:v>Actual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478-4B78-B4B6-14E44D330F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478-4B78-B4B6-14E44D330FC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478-4B78-B4B6-14E44D330FC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478-4B78-B4B6-14E44D330FC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478-4B78-B4B6-14E44D330FC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478-4B78-B4B6-14E44D330FC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478-4B78-B4B6-14E44D330FC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478-4B78-B4B6-14E44D330FC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478-4B78-B4B6-14E44D330FC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478-4B78-B4B6-14E44D330FC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E478-4B78-B4B6-14E44D330FCB}"/>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E478-4B78-B4B6-14E44D330FCB}"/>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E478-4B78-B4B6-14E44D330F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0"/>
            <c:showCatName val="0"/>
            <c:showSerName val="0"/>
            <c:showPercent val="1"/>
            <c:showBubbleSize val="0"/>
            <c:showLeaderLines val="0"/>
            <c:extLst>
              <c:ext xmlns:c15="http://schemas.microsoft.com/office/drawing/2012/chart" uri="{CE6537A1-D6FC-4f65-9D91-7224C49458BB}"/>
            </c:extLst>
          </c:dLbls>
          <c:cat>
            <c:strRef>
              <c:f>'April - Overview'!$B$6:$B$18</c:f>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f>'April - Overview'!$D$6:$D$18</c:f>
              <c:numCache>
                <c:formatCode>"$"#,##0_);[Red]\("$"#,##0\)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A-E478-4B78-B4B6-14E44D330FCB}"/>
            </c:ext>
          </c:extLst>
        </c:ser>
        <c:dLbls>
          <c:dLblPos val="bestFit"/>
          <c:showLegendKey val="0"/>
          <c:showVal val="1"/>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'April - Overview'!$C$5</c15:sqref>
                        </c15:formulaRef>
                      </c:ext>
                    </c:extLst>
                    <c:strCache>
                      <c:ptCount val="1"/>
                      <c:pt idx="0">
                        <c:v>Budgeted
cost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E478-4B78-B4B6-14E44D330F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E-E478-4B78-B4B6-14E44D330FC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0-E478-4B78-B4B6-14E44D330FC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E478-4B78-B4B6-14E44D330FC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4-E478-4B78-B4B6-14E44D330FC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6-E478-4B78-B4B6-14E44D330FC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8-E478-4B78-B4B6-14E44D330FC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A-E478-4B78-B4B6-14E44D330FC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C-E478-4B78-B4B6-14E44D330FC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E-E478-4B78-B4B6-14E44D330FC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30-E478-4B78-B4B6-14E44D330FCB}"/>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2-E478-4B78-B4B6-14E44D330FCB}"/>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34-E478-4B78-B4B6-14E44D330FCB}"/>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6-E478-4B78-B4B6-14E44D330F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'April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c:ext uri="{02D57815-91ED-43cb-92C2-25804820EDAC}">
                        <c15:formulaRef>
                          <c15:sqref>'April - Overview'!$C$6:$C$19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7-E478-4B78-B4B6-14E44D330FC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'April - Overview'!$E$5</c15:sqref>
                        </c15:formulaRef>
                      </c:ext>
                    </c:extLst>
                    <c:strCache>
                      <c:ptCount val="1"/>
                      <c:pt idx="0">
                        <c:v>Difference</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39-E478-4B78-B4B6-14E44D330FC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B-E478-4B78-B4B6-14E44D330FCB}"/>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D-E478-4B78-B4B6-14E44D330FCB}"/>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F-E478-4B78-B4B6-14E44D330FCB}"/>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41-E478-4B78-B4B6-14E44D330FCB}"/>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43-E478-4B78-B4B6-14E44D330FCB}"/>
                    </c:ext>
                  </c:extLst>
                </c:dPt>
                <c:dPt>
                  <c:idx val="6"/>
                  <c:bubble3D val="0"/>
                  <c:spPr>
                    <a:solidFill>
                      <a:schemeClr val="accent1">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5-E478-4B78-B4B6-14E44D330FCB}"/>
                    </c:ext>
                  </c:extLst>
                </c:dPt>
                <c:dPt>
                  <c:idx val="7"/>
                  <c:bubble3D val="0"/>
                  <c:spPr>
                    <a:solidFill>
                      <a:schemeClr val="accent2">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7-E478-4B78-B4B6-14E44D330FCB}"/>
                    </c:ext>
                  </c:extLst>
                </c:dPt>
                <c:dPt>
                  <c:idx val="8"/>
                  <c:bubble3D val="0"/>
                  <c:spPr>
                    <a:solidFill>
                      <a:schemeClr val="accent3">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9-E478-4B78-B4B6-14E44D330FCB}"/>
                    </c:ext>
                  </c:extLst>
                </c:dPt>
                <c:dPt>
                  <c:idx val="9"/>
                  <c:bubble3D val="0"/>
                  <c:spPr>
                    <a:solidFill>
                      <a:schemeClr val="accent4">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B-E478-4B78-B4B6-14E44D330FCB}"/>
                    </c:ext>
                  </c:extLst>
                </c:dPt>
                <c:dPt>
                  <c:idx val="10"/>
                  <c:bubble3D val="0"/>
                  <c:spPr>
                    <a:solidFill>
                      <a:schemeClr val="accent5">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D-E478-4B78-B4B6-14E44D330FCB}"/>
                    </c:ext>
                  </c:extLst>
                </c:dPt>
                <c:dPt>
                  <c:idx val="11"/>
                  <c:bubble3D val="0"/>
                  <c:spPr>
                    <a:solidFill>
                      <a:schemeClr val="accent6">
                        <a:lumMod val="60000"/>
                      </a:schemeClr>
                    </a:solidFill>
                    <a:ln w="19050">
                      <a:solidFill>
                        <a:schemeClr val="lt1"/>
                      </a:solidFill>
                    </a:ln>
                    <a:effectLst/>
                  </c:spPr>
                  <c:extLst xmlns:c15="http://schemas.microsoft.com/office/drawing/2012/chart">
                    <c:ext xmlns:c16="http://schemas.microsoft.com/office/drawing/2014/chart" uri="{C3380CC4-5D6E-409C-BE32-E72D297353CC}">
                      <c16:uniqueId val="{0000004F-E478-4B78-B4B6-14E44D330FCB}"/>
                    </c:ext>
                  </c:extLst>
                </c:dPt>
                <c:dPt>
                  <c:idx val="12"/>
                  <c:bubble3D val="0"/>
                  <c:spPr>
                    <a:solidFill>
                      <a:schemeClr val="accent1">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1-E478-4B78-B4B6-14E44D330FCB}"/>
                    </c:ext>
                  </c:extLst>
                </c:dPt>
                <c:dPt>
                  <c:idx val="13"/>
                  <c:bubble3D val="0"/>
                  <c:spPr>
                    <a:solidFill>
                      <a:schemeClr val="accent2">
                        <a:lumMod val="80000"/>
                        <a:lumOff val="20000"/>
                      </a:schemeClr>
                    </a:solidFill>
                    <a:ln w="19050">
                      <a:solidFill>
                        <a:schemeClr val="lt1"/>
                      </a:solidFill>
                    </a:ln>
                    <a:effectLst/>
                  </c:spPr>
                  <c:extLst xmlns:c15="http://schemas.microsoft.com/office/drawing/2012/chart">
                    <c:ext xmlns:c16="http://schemas.microsoft.com/office/drawing/2014/chart" uri="{C3380CC4-5D6E-409C-BE32-E72D297353CC}">
                      <c16:uniqueId val="{00000053-E478-4B78-B4B6-14E44D330F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'April - Overview'!$B$6:$B$18</c15:sqref>
                        </c15:formulaRef>
                      </c:ext>
                    </c:extLst>
                    <c:strCache>
                      <c:ptCount val="13"/>
                      <c:pt idx="0">
                        <c:v>Housing</c:v>
                      </c:pt>
                      <c:pt idx="1">
                        <c:v>Transportation</c:v>
                      </c:pt>
                      <c:pt idx="2">
                        <c:v>Loans</c:v>
                      </c:pt>
                      <c:pt idx="3">
                        <c:v>Insurance</c:v>
                      </c:pt>
                      <c:pt idx="4">
                        <c:v>Entertainment</c:v>
                      </c:pt>
                      <c:pt idx="5">
                        <c:v>Food</c:v>
                      </c:pt>
                      <c:pt idx="6">
                        <c:v>Taxes</c:v>
                      </c:pt>
                      <c:pt idx="7">
                        <c:v>Children</c:v>
                      </c:pt>
                      <c:pt idx="8">
                        <c:v>Personal care</c:v>
                      </c:pt>
                      <c:pt idx="9">
                        <c:v>Legal</c:v>
                      </c:pt>
                      <c:pt idx="10">
                        <c:v>Pets</c:v>
                      </c:pt>
                      <c:pt idx="11">
                        <c:v>Savings/investments</c:v>
                      </c:pt>
                      <c:pt idx="12">
                        <c:v>Gifts and donations</c:v>
                      </c:pt>
                    </c:strCache>
                  </c:strRef>
                </c:cat>
                <c:val>
                  <c:numRef>
                    <c:extLst xmlns:c15="http://schemas.microsoft.com/office/drawing/2012/chart">
                      <c:ext xmlns:c15="http://schemas.microsoft.com/office/drawing/2012/chart" uri="{02D57815-91ED-43cb-92C2-25804820EDAC}">
                        <c15:formulaRef>
                          <c15:sqref>'April - Overview'!$E$6:$E$19</c15:sqref>
                        </c15:formulaRef>
                      </c:ext>
                    </c:extLst>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5="http://schemas.microsoft.com/office/drawing/2012/chart">
                  <c:ext xmlns:c16="http://schemas.microsoft.com/office/drawing/2014/chart" uri="{C3380CC4-5D6E-409C-BE32-E72D297353CC}">
                    <c16:uniqueId val="{00000054-E478-4B78-B4B6-14E44D330FCB}"/>
                  </c:ext>
                </c:extLst>
              </c15:ser>
            </c15:filteredPieSeries>
          </c:ext>
        </c:extLst>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xdr:col>
      <xdr:colOff>27214</xdr:colOff>
      <xdr:row>31</xdr:row>
      <xdr:rowOff>40820</xdr:rowOff>
    </xdr:from>
    <xdr:ext cx="15280821" cy="668575"/>
    <xdr:sp macro="" textlink="" fLocksText="0">
      <xdr:nvSpPr>
        <xdr:cNvPr id="3" name="TextBox 2">
          <a:extLst>
            <a:ext uri="{FF2B5EF4-FFF2-40B4-BE49-F238E27FC236}">
              <a16:creationId xmlns:a16="http://schemas.microsoft.com/office/drawing/2014/main" id="{07095B06-0A44-43FF-954A-C85B3C8F8FE7}"/>
            </a:ext>
          </a:extLst>
        </xdr:cNvPr>
        <xdr:cNvSpPr txBox="1"/>
      </xdr:nvSpPr>
      <xdr:spPr>
        <a:xfrm>
          <a:off x="122464" y="10858499"/>
          <a:ext cx="15280821" cy="668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144000" rIns="0" bIns="0" rtlCol="0" anchor="t">
          <a:noAutofit/>
        </a:bodyPr>
        <a:lstStyle/>
        <a:p>
          <a:r>
            <a:rPr lang="en-CA" sz="650">
              <a:latin typeface="+mn-lt"/>
            </a:rPr>
            <a:t>The information contained in this document is general in nature and provided as reference material only. It does not, nor is it intended to, provide legal, tax, real estate or financial advice, nor does it replace (or purport to replace) any need to obtain individual legal, tax, real estate or financial advice. </a:t>
          </a:r>
        </a:p>
        <a:p>
          <a:endParaRPr lang="en-CA" sz="650">
            <a:latin typeface="+mn-lt"/>
          </a:endParaRPr>
        </a:p>
        <a:p>
          <a:r>
            <a:rPr lang="en-CA" sz="650">
              <a:latin typeface="+mn-lt"/>
            </a:rPr>
            <a:t>Any legal, tax, real estate or financial advice about your own position or personal situation in relation to any matter covered in this document must always be obtained from a qualified legal, tax, real estate or financial professional familiar with your particular situation and circumstances. </a:t>
          </a:r>
        </a:p>
        <a:p>
          <a:endParaRPr lang="en-CA" sz="650">
            <a:latin typeface="+mn-lt"/>
          </a:endParaRPr>
        </a:p>
        <a:p>
          <a:r>
            <a:rPr lang="en-CA" sz="650">
              <a:latin typeface="+mn-lt"/>
            </a:rPr>
            <a:t>Copyright 2008-2023 Keyspire Group Inc. All Rights Reserved. No part of this document may be reproduced or distributed in any form, or by any means whatsoever, whether in whole or in part, without written permission from Keyspire Group Inc. </a:t>
          </a:r>
        </a:p>
      </xdr:txBody>
    </xdr:sp>
    <xdr:clientData/>
  </xdr:oneCellAnchor>
  <xdr:twoCellAnchor editAs="absolute">
    <xdr:from>
      <xdr:col>7</xdr:col>
      <xdr:colOff>2272393</xdr:colOff>
      <xdr:row>0</xdr:row>
      <xdr:rowOff>0</xdr:rowOff>
    </xdr:from>
    <xdr:to>
      <xdr:col>10</xdr:col>
      <xdr:colOff>545979</xdr:colOff>
      <xdr:row>0</xdr:row>
      <xdr:rowOff>966107</xdr:rowOff>
    </xdr:to>
    <xdr:pic>
      <xdr:nvPicPr>
        <xdr:cNvPr id="5" name="Picture 4">
          <a:extLst>
            <a:ext uri="{FF2B5EF4-FFF2-40B4-BE49-F238E27FC236}">
              <a16:creationId xmlns:a16="http://schemas.microsoft.com/office/drawing/2014/main" id="{867A6E62-CA99-461F-8C62-2B41A292D1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40393" y="0"/>
          <a:ext cx="2410157" cy="966107"/>
        </a:xfrm>
        <a:prstGeom prst="rect">
          <a:avLst/>
        </a:prstGeom>
      </xdr:spPr>
    </xdr:pic>
    <xdr:clientData/>
  </xdr:twoCellAnchor>
  <xdr:twoCellAnchor>
    <xdr:from>
      <xdr:col>1</xdr:col>
      <xdr:colOff>27213</xdr:colOff>
      <xdr:row>19</xdr:row>
      <xdr:rowOff>285750</xdr:rowOff>
    </xdr:from>
    <xdr:to>
      <xdr:col>3</xdr:col>
      <xdr:colOff>1864178</xdr:colOff>
      <xdr:row>30</xdr:row>
      <xdr:rowOff>353787</xdr:rowOff>
    </xdr:to>
    <xdr:graphicFrame macro="">
      <xdr:nvGraphicFramePr>
        <xdr:cNvPr id="7" name="Chart 6">
          <a:extLst>
            <a:ext uri="{FF2B5EF4-FFF2-40B4-BE49-F238E27FC236}">
              <a16:creationId xmlns:a16="http://schemas.microsoft.com/office/drawing/2014/main" id="{1E12B1EF-95C9-49EE-B733-B3AB8EEF3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666748</xdr:colOff>
      <xdr:row>19</xdr:row>
      <xdr:rowOff>302078</xdr:rowOff>
    </xdr:from>
    <xdr:to>
      <xdr:col>10</xdr:col>
      <xdr:colOff>299355</xdr:colOff>
      <xdr:row>30</xdr:row>
      <xdr:rowOff>340180</xdr:rowOff>
    </xdr:to>
    <xdr:graphicFrame macro="">
      <xdr:nvGraphicFramePr>
        <xdr:cNvPr id="8" name="Chart 7">
          <a:extLst>
            <a:ext uri="{FF2B5EF4-FFF2-40B4-BE49-F238E27FC236}">
              <a16:creationId xmlns:a16="http://schemas.microsoft.com/office/drawing/2014/main" id="{303483DB-4668-4677-A9A4-D1E2CCAC3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absolute">
    <xdr:from>
      <xdr:col>8</xdr:col>
      <xdr:colOff>194248</xdr:colOff>
      <xdr:row>0</xdr:row>
      <xdr:rowOff>13607</xdr:rowOff>
    </xdr:from>
    <xdr:to>
      <xdr:col>9</xdr:col>
      <xdr:colOff>100691</xdr:colOff>
      <xdr:row>1</xdr:row>
      <xdr:rowOff>0</xdr:rowOff>
    </xdr:to>
    <xdr:pic>
      <xdr:nvPicPr>
        <xdr:cNvPr id="2" name="Picture 1">
          <a:extLst>
            <a:ext uri="{FF2B5EF4-FFF2-40B4-BE49-F238E27FC236}">
              <a16:creationId xmlns:a16="http://schemas.microsoft.com/office/drawing/2014/main" id="{17CD68A5-1CD1-4A73-B640-C9D90AB07A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7248" y="13607"/>
          <a:ext cx="2411518" cy="967468"/>
        </a:xfrm>
        <a:prstGeom prst="rect">
          <a:avLst/>
        </a:prstGeom>
      </xdr:spPr>
    </xdr:pic>
    <xdr:clientData/>
  </xdr:twoCellAnchor>
  <xdr:twoCellAnchor>
    <xdr:from>
      <xdr:col>0</xdr:col>
      <xdr:colOff>81643</xdr:colOff>
      <xdr:row>20</xdr:row>
      <xdr:rowOff>367392</xdr:rowOff>
    </xdr:from>
    <xdr:to>
      <xdr:col>3</xdr:col>
      <xdr:colOff>1823358</xdr:colOff>
      <xdr:row>32</xdr:row>
      <xdr:rowOff>149679</xdr:rowOff>
    </xdr:to>
    <xdr:graphicFrame macro="">
      <xdr:nvGraphicFramePr>
        <xdr:cNvPr id="3" name="Chart 2">
          <a:extLst>
            <a:ext uri="{FF2B5EF4-FFF2-40B4-BE49-F238E27FC236}">
              <a16:creationId xmlns:a16="http://schemas.microsoft.com/office/drawing/2014/main" id="{F8926465-96C0-42C7-82D6-1CAEB20423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625928</xdr:colOff>
      <xdr:row>21</xdr:row>
      <xdr:rowOff>2720</xdr:rowOff>
    </xdr:from>
    <xdr:to>
      <xdr:col>8</xdr:col>
      <xdr:colOff>2490106</xdr:colOff>
      <xdr:row>32</xdr:row>
      <xdr:rowOff>136072</xdr:rowOff>
    </xdr:to>
    <xdr:graphicFrame macro="">
      <xdr:nvGraphicFramePr>
        <xdr:cNvPr id="4" name="Chart 3">
          <a:extLst>
            <a:ext uri="{FF2B5EF4-FFF2-40B4-BE49-F238E27FC236}">
              <a16:creationId xmlns:a16="http://schemas.microsoft.com/office/drawing/2014/main" id="{F9481C98-5928-4F61-A2E9-D2ED862545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8</xdr:col>
      <xdr:colOff>194248</xdr:colOff>
      <xdr:row>0</xdr:row>
      <xdr:rowOff>13607</xdr:rowOff>
    </xdr:from>
    <xdr:to>
      <xdr:col>9</xdr:col>
      <xdr:colOff>100691</xdr:colOff>
      <xdr:row>1</xdr:row>
      <xdr:rowOff>0</xdr:rowOff>
    </xdr:to>
    <xdr:pic>
      <xdr:nvPicPr>
        <xdr:cNvPr id="2" name="Picture 1">
          <a:extLst>
            <a:ext uri="{FF2B5EF4-FFF2-40B4-BE49-F238E27FC236}">
              <a16:creationId xmlns:a16="http://schemas.microsoft.com/office/drawing/2014/main" id="{212130B8-353C-4D3B-9FE7-92246C9B12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7248" y="13607"/>
          <a:ext cx="2411518" cy="967468"/>
        </a:xfrm>
        <a:prstGeom prst="rect">
          <a:avLst/>
        </a:prstGeom>
      </xdr:spPr>
    </xdr:pic>
    <xdr:clientData/>
  </xdr:twoCellAnchor>
  <xdr:twoCellAnchor>
    <xdr:from>
      <xdr:col>0</xdr:col>
      <xdr:colOff>81643</xdr:colOff>
      <xdr:row>20</xdr:row>
      <xdr:rowOff>367392</xdr:rowOff>
    </xdr:from>
    <xdr:to>
      <xdr:col>3</xdr:col>
      <xdr:colOff>1823358</xdr:colOff>
      <xdr:row>32</xdr:row>
      <xdr:rowOff>149679</xdr:rowOff>
    </xdr:to>
    <xdr:graphicFrame macro="">
      <xdr:nvGraphicFramePr>
        <xdr:cNvPr id="3" name="Chart 2">
          <a:extLst>
            <a:ext uri="{FF2B5EF4-FFF2-40B4-BE49-F238E27FC236}">
              <a16:creationId xmlns:a16="http://schemas.microsoft.com/office/drawing/2014/main" id="{CB6EE875-981A-4310-ACCD-50D5CE1EA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625928</xdr:colOff>
      <xdr:row>21</xdr:row>
      <xdr:rowOff>2720</xdr:rowOff>
    </xdr:from>
    <xdr:to>
      <xdr:col>8</xdr:col>
      <xdr:colOff>2490106</xdr:colOff>
      <xdr:row>32</xdr:row>
      <xdr:rowOff>136072</xdr:rowOff>
    </xdr:to>
    <xdr:graphicFrame macro="">
      <xdr:nvGraphicFramePr>
        <xdr:cNvPr id="4" name="Chart 3">
          <a:extLst>
            <a:ext uri="{FF2B5EF4-FFF2-40B4-BE49-F238E27FC236}">
              <a16:creationId xmlns:a16="http://schemas.microsoft.com/office/drawing/2014/main" id="{5637BF58-AFA8-4E2D-9FCE-BFB47511E3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8</xdr:col>
      <xdr:colOff>194248</xdr:colOff>
      <xdr:row>0</xdr:row>
      <xdr:rowOff>13607</xdr:rowOff>
    </xdr:from>
    <xdr:to>
      <xdr:col>9</xdr:col>
      <xdr:colOff>100691</xdr:colOff>
      <xdr:row>1</xdr:row>
      <xdr:rowOff>0</xdr:rowOff>
    </xdr:to>
    <xdr:pic>
      <xdr:nvPicPr>
        <xdr:cNvPr id="2" name="Picture 1">
          <a:extLst>
            <a:ext uri="{FF2B5EF4-FFF2-40B4-BE49-F238E27FC236}">
              <a16:creationId xmlns:a16="http://schemas.microsoft.com/office/drawing/2014/main" id="{7BF85DCD-8584-4DDE-A213-85F8AD9AE3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7248" y="13607"/>
          <a:ext cx="2411518" cy="967468"/>
        </a:xfrm>
        <a:prstGeom prst="rect">
          <a:avLst/>
        </a:prstGeom>
      </xdr:spPr>
    </xdr:pic>
    <xdr:clientData/>
  </xdr:twoCellAnchor>
  <xdr:twoCellAnchor>
    <xdr:from>
      <xdr:col>0</xdr:col>
      <xdr:colOff>81643</xdr:colOff>
      <xdr:row>20</xdr:row>
      <xdr:rowOff>367392</xdr:rowOff>
    </xdr:from>
    <xdr:to>
      <xdr:col>3</xdr:col>
      <xdr:colOff>1823358</xdr:colOff>
      <xdr:row>32</xdr:row>
      <xdr:rowOff>149679</xdr:rowOff>
    </xdr:to>
    <xdr:graphicFrame macro="">
      <xdr:nvGraphicFramePr>
        <xdr:cNvPr id="3" name="Chart 2">
          <a:extLst>
            <a:ext uri="{FF2B5EF4-FFF2-40B4-BE49-F238E27FC236}">
              <a16:creationId xmlns:a16="http://schemas.microsoft.com/office/drawing/2014/main" id="{14C848DA-E2BA-4741-8F03-B9EB2EB89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625928</xdr:colOff>
      <xdr:row>21</xdr:row>
      <xdr:rowOff>2720</xdr:rowOff>
    </xdr:from>
    <xdr:to>
      <xdr:col>8</xdr:col>
      <xdr:colOff>2490106</xdr:colOff>
      <xdr:row>32</xdr:row>
      <xdr:rowOff>136072</xdr:rowOff>
    </xdr:to>
    <xdr:graphicFrame macro="">
      <xdr:nvGraphicFramePr>
        <xdr:cNvPr id="4" name="Chart 3">
          <a:extLst>
            <a:ext uri="{FF2B5EF4-FFF2-40B4-BE49-F238E27FC236}">
              <a16:creationId xmlns:a16="http://schemas.microsoft.com/office/drawing/2014/main" id="{86BBEE46-1B75-4627-80CD-89C7C2CB06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absolute">
    <xdr:from>
      <xdr:col>8</xdr:col>
      <xdr:colOff>194248</xdr:colOff>
      <xdr:row>0</xdr:row>
      <xdr:rowOff>13607</xdr:rowOff>
    </xdr:from>
    <xdr:to>
      <xdr:col>9</xdr:col>
      <xdr:colOff>100691</xdr:colOff>
      <xdr:row>1</xdr:row>
      <xdr:rowOff>0</xdr:rowOff>
    </xdr:to>
    <xdr:pic>
      <xdr:nvPicPr>
        <xdr:cNvPr id="2" name="Picture 1">
          <a:extLst>
            <a:ext uri="{FF2B5EF4-FFF2-40B4-BE49-F238E27FC236}">
              <a16:creationId xmlns:a16="http://schemas.microsoft.com/office/drawing/2014/main" id="{FFEFE4D5-6117-4EB9-8C95-FE1FAF148E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7248" y="13607"/>
          <a:ext cx="2411518" cy="967468"/>
        </a:xfrm>
        <a:prstGeom prst="rect">
          <a:avLst/>
        </a:prstGeom>
      </xdr:spPr>
    </xdr:pic>
    <xdr:clientData/>
  </xdr:twoCellAnchor>
  <xdr:twoCellAnchor>
    <xdr:from>
      <xdr:col>0</xdr:col>
      <xdr:colOff>81643</xdr:colOff>
      <xdr:row>20</xdr:row>
      <xdr:rowOff>367392</xdr:rowOff>
    </xdr:from>
    <xdr:to>
      <xdr:col>3</xdr:col>
      <xdr:colOff>1823358</xdr:colOff>
      <xdr:row>32</xdr:row>
      <xdr:rowOff>149679</xdr:rowOff>
    </xdr:to>
    <xdr:graphicFrame macro="">
      <xdr:nvGraphicFramePr>
        <xdr:cNvPr id="3" name="Chart 2">
          <a:extLst>
            <a:ext uri="{FF2B5EF4-FFF2-40B4-BE49-F238E27FC236}">
              <a16:creationId xmlns:a16="http://schemas.microsoft.com/office/drawing/2014/main" id="{1953C261-4AC7-4683-BA3B-E9F54992B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625928</xdr:colOff>
      <xdr:row>21</xdr:row>
      <xdr:rowOff>2720</xdr:rowOff>
    </xdr:from>
    <xdr:to>
      <xdr:col>8</xdr:col>
      <xdr:colOff>2490106</xdr:colOff>
      <xdr:row>32</xdr:row>
      <xdr:rowOff>136072</xdr:rowOff>
    </xdr:to>
    <xdr:graphicFrame macro="">
      <xdr:nvGraphicFramePr>
        <xdr:cNvPr id="4" name="Chart 3">
          <a:extLst>
            <a:ext uri="{FF2B5EF4-FFF2-40B4-BE49-F238E27FC236}">
              <a16:creationId xmlns:a16="http://schemas.microsoft.com/office/drawing/2014/main" id="{0633DBF6-7925-47C5-B00D-991CE237AD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8</xdr:col>
      <xdr:colOff>194248</xdr:colOff>
      <xdr:row>0</xdr:row>
      <xdr:rowOff>13607</xdr:rowOff>
    </xdr:from>
    <xdr:to>
      <xdr:col>9</xdr:col>
      <xdr:colOff>100691</xdr:colOff>
      <xdr:row>1</xdr:row>
      <xdr:rowOff>0</xdr:rowOff>
    </xdr:to>
    <xdr:pic>
      <xdr:nvPicPr>
        <xdr:cNvPr id="20" name="Picture 19">
          <a:extLst>
            <a:ext uri="{FF2B5EF4-FFF2-40B4-BE49-F238E27FC236}">
              <a16:creationId xmlns:a16="http://schemas.microsoft.com/office/drawing/2014/main" id="{791807EE-0553-9560-5323-734BE12778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6283" y="13607"/>
          <a:ext cx="2410157" cy="966107"/>
        </a:xfrm>
        <a:prstGeom prst="rect">
          <a:avLst/>
        </a:prstGeom>
      </xdr:spPr>
    </xdr:pic>
    <xdr:clientData/>
  </xdr:twoCellAnchor>
  <xdr:twoCellAnchor>
    <xdr:from>
      <xdr:col>0</xdr:col>
      <xdr:colOff>81643</xdr:colOff>
      <xdr:row>20</xdr:row>
      <xdr:rowOff>367392</xdr:rowOff>
    </xdr:from>
    <xdr:to>
      <xdr:col>3</xdr:col>
      <xdr:colOff>1823358</xdr:colOff>
      <xdr:row>32</xdr:row>
      <xdr:rowOff>149679</xdr:rowOff>
    </xdr:to>
    <xdr:graphicFrame macro="">
      <xdr:nvGraphicFramePr>
        <xdr:cNvPr id="25" name="Chart 24">
          <a:extLst>
            <a:ext uri="{FF2B5EF4-FFF2-40B4-BE49-F238E27FC236}">
              <a16:creationId xmlns:a16="http://schemas.microsoft.com/office/drawing/2014/main" id="{E3902106-BBD3-B279-7209-786F34D777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625928</xdr:colOff>
      <xdr:row>21</xdr:row>
      <xdr:rowOff>2720</xdr:rowOff>
    </xdr:from>
    <xdr:to>
      <xdr:col>8</xdr:col>
      <xdr:colOff>2490106</xdr:colOff>
      <xdr:row>32</xdr:row>
      <xdr:rowOff>136072</xdr:rowOff>
    </xdr:to>
    <xdr:graphicFrame macro="">
      <xdr:nvGraphicFramePr>
        <xdr:cNvPr id="29" name="Chart 28">
          <a:extLst>
            <a:ext uri="{FF2B5EF4-FFF2-40B4-BE49-F238E27FC236}">
              <a16:creationId xmlns:a16="http://schemas.microsoft.com/office/drawing/2014/main" id="{AA402ABC-B95A-240D-C6C8-7992435CE1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8</xdr:col>
      <xdr:colOff>194248</xdr:colOff>
      <xdr:row>0</xdr:row>
      <xdr:rowOff>13607</xdr:rowOff>
    </xdr:from>
    <xdr:to>
      <xdr:col>9</xdr:col>
      <xdr:colOff>100691</xdr:colOff>
      <xdr:row>1</xdr:row>
      <xdr:rowOff>0</xdr:rowOff>
    </xdr:to>
    <xdr:pic>
      <xdr:nvPicPr>
        <xdr:cNvPr id="2" name="Picture 1">
          <a:extLst>
            <a:ext uri="{FF2B5EF4-FFF2-40B4-BE49-F238E27FC236}">
              <a16:creationId xmlns:a16="http://schemas.microsoft.com/office/drawing/2014/main" id="{E2737A42-67D9-4C48-99C6-978706FA65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7248" y="13607"/>
          <a:ext cx="2411518" cy="967468"/>
        </a:xfrm>
        <a:prstGeom prst="rect">
          <a:avLst/>
        </a:prstGeom>
      </xdr:spPr>
    </xdr:pic>
    <xdr:clientData/>
  </xdr:twoCellAnchor>
  <xdr:twoCellAnchor>
    <xdr:from>
      <xdr:col>0</xdr:col>
      <xdr:colOff>81643</xdr:colOff>
      <xdr:row>20</xdr:row>
      <xdr:rowOff>367392</xdr:rowOff>
    </xdr:from>
    <xdr:to>
      <xdr:col>3</xdr:col>
      <xdr:colOff>1823358</xdr:colOff>
      <xdr:row>32</xdr:row>
      <xdr:rowOff>149679</xdr:rowOff>
    </xdr:to>
    <xdr:graphicFrame macro="">
      <xdr:nvGraphicFramePr>
        <xdr:cNvPr id="3" name="Chart 2">
          <a:extLst>
            <a:ext uri="{FF2B5EF4-FFF2-40B4-BE49-F238E27FC236}">
              <a16:creationId xmlns:a16="http://schemas.microsoft.com/office/drawing/2014/main" id="{CDDABEA3-4E41-41F1-96B2-C974270C3A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625928</xdr:colOff>
      <xdr:row>21</xdr:row>
      <xdr:rowOff>2720</xdr:rowOff>
    </xdr:from>
    <xdr:to>
      <xdr:col>8</xdr:col>
      <xdr:colOff>2490106</xdr:colOff>
      <xdr:row>32</xdr:row>
      <xdr:rowOff>136072</xdr:rowOff>
    </xdr:to>
    <xdr:graphicFrame macro="">
      <xdr:nvGraphicFramePr>
        <xdr:cNvPr id="4" name="Chart 3">
          <a:extLst>
            <a:ext uri="{FF2B5EF4-FFF2-40B4-BE49-F238E27FC236}">
              <a16:creationId xmlns:a16="http://schemas.microsoft.com/office/drawing/2014/main" id="{ED0BE8E6-5C01-4306-8C83-5E37A54C0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8</xdr:col>
      <xdr:colOff>194248</xdr:colOff>
      <xdr:row>0</xdr:row>
      <xdr:rowOff>13607</xdr:rowOff>
    </xdr:from>
    <xdr:to>
      <xdr:col>9</xdr:col>
      <xdr:colOff>100691</xdr:colOff>
      <xdr:row>1</xdr:row>
      <xdr:rowOff>0</xdr:rowOff>
    </xdr:to>
    <xdr:pic>
      <xdr:nvPicPr>
        <xdr:cNvPr id="2" name="Picture 1">
          <a:extLst>
            <a:ext uri="{FF2B5EF4-FFF2-40B4-BE49-F238E27FC236}">
              <a16:creationId xmlns:a16="http://schemas.microsoft.com/office/drawing/2014/main" id="{F5C45E67-754E-4919-9F19-53507A6302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7248" y="13607"/>
          <a:ext cx="2411518" cy="967468"/>
        </a:xfrm>
        <a:prstGeom prst="rect">
          <a:avLst/>
        </a:prstGeom>
      </xdr:spPr>
    </xdr:pic>
    <xdr:clientData/>
  </xdr:twoCellAnchor>
  <xdr:twoCellAnchor>
    <xdr:from>
      <xdr:col>0</xdr:col>
      <xdr:colOff>81643</xdr:colOff>
      <xdr:row>20</xdr:row>
      <xdr:rowOff>367392</xdr:rowOff>
    </xdr:from>
    <xdr:to>
      <xdr:col>3</xdr:col>
      <xdr:colOff>1823358</xdr:colOff>
      <xdr:row>32</xdr:row>
      <xdr:rowOff>149679</xdr:rowOff>
    </xdr:to>
    <xdr:graphicFrame macro="">
      <xdr:nvGraphicFramePr>
        <xdr:cNvPr id="3" name="Chart 2">
          <a:extLst>
            <a:ext uri="{FF2B5EF4-FFF2-40B4-BE49-F238E27FC236}">
              <a16:creationId xmlns:a16="http://schemas.microsoft.com/office/drawing/2014/main" id="{5E3D2B4A-2ABF-4D11-B689-DF500BFB3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625928</xdr:colOff>
      <xdr:row>21</xdr:row>
      <xdr:rowOff>2720</xdr:rowOff>
    </xdr:from>
    <xdr:to>
      <xdr:col>8</xdr:col>
      <xdr:colOff>2490106</xdr:colOff>
      <xdr:row>32</xdr:row>
      <xdr:rowOff>136072</xdr:rowOff>
    </xdr:to>
    <xdr:graphicFrame macro="">
      <xdr:nvGraphicFramePr>
        <xdr:cNvPr id="4" name="Chart 3">
          <a:extLst>
            <a:ext uri="{FF2B5EF4-FFF2-40B4-BE49-F238E27FC236}">
              <a16:creationId xmlns:a16="http://schemas.microsoft.com/office/drawing/2014/main" id="{E6AB4703-37F6-41E4-9E9F-9873FE018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8</xdr:col>
      <xdr:colOff>194248</xdr:colOff>
      <xdr:row>0</xdr:row>
      <xdr:rowOff>13607</xdr:rowOff>
    </xdr:from>
    <xdr:to>
      <xdr:col>9</xdr:col>
      <xdr:colOff>100691</xdr:colOff>
      <xdr:row>1</xdr:row>
      <xdr:rowOff>0</xdr:rowOff>
    </xdr:to>
    <xdr:pic>
      <xdr:nvPicPr>
        <xdr:cNvPr id="2" name="Picture 1">
          <a:extLst>
            <a:ext uri="{FF2B5EF4-FFF2-40B4-BE49-F238E27FC236}">
              <a16:creationId xmlns:a16="http://schemas.microsoft.com/office/drawing/2014/main" id="{0BAF29CF-1147-4BED-8055-C8201C9DE0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7248" y="13607"/>
          <a:ext cx="2411518" cy="967468"/>
        </a:xfrm>
        <a:prstGeom prst="rect">
          <a:avLst/>
        </a:prstGeom>
      </xdr:spPr>
    </xdr:pic>
    <xdr:clientData/>
  </xdr:twoCellAnchor>
  <xdr:twoCellAnchor>
    <xdr:from>
      <xdr:col>0</xdr:col>
      <xdr:colOff>81643</xdr:colOff>
      <xdr:row>20</xdr:row>
      <xdr:rowOff>367392</xdr:rowOff>
    </xdr:from>
    <xdr:to>
      <xdr:col>3</xdr:col>
      <xdr:colOff>1823358</xdr:colOff>
      <xdr:row>32</xdr:row>
      <xdr:rowOff>149679</xdr:rowOff>
    </xdr:to>
    <xdr:graphicFrame macro="">
      <xdr:nvGraphicFramePr>
        <xdr:cNvPr id="3" name="Chart 2">
          <a:extLst>
            <a:ext uri="{FF2B5EF4-FFF2-40B4-BE49-F238E27FC236}">
              <a16:creationId xmlns:a16="http://schemas.microsoft.com/office/drawing/2014/main" id="{499F6099-951E-4F10-A353-2BB15BC79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625928</xdr:colOff>
      <xdr:row>21</xdr:row>
      <xdr:rowOff>2720</xdr:rowOff>
    </xdr:from>
    <xdr:to>
      <xdr:col>8</xdr:col>
      <xdr:colOff>2490106</xdr:colOff>
      <xdr:row>32</xdr:row>
      <xdr:rowOff>136072</xdr:rowOff>
    </xdr:to>
    <xdr:graphicFrame macro="">
      <xdr:nvGraphicFramePr>
        <xdr:cNvPr id="4" name="Chart 3">
          <a:extLst>
            <a:ext uri="{FF2B5EF4-FFF2-40B4-BE49-F238E27FC236}">
              <a16:creationId xmlns:a16="http://schemas.microsoft.com/office/drawing/2014/main" id="{12B14124-06D6-448A-ACD9-6F2AF1CB52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8</xdr:col>
      <xdr:colOff>194248</xdr:colOff>
      <xdr:row>0</xdr:row>
      <xdr:rowOff>13607</xdr:rowOff>
    </xdr:from>
    <xdr:to>
      <xdr:col>9</xdr:col>
      <xdr:colOff>100691</xdr:colOff>
      <xdr:row>1</xdr:row>
      <xdr:rowOff>0</xdr:rowOff>
    </xdr:to>
    <xdr:pic>
      <xdr:nvPicPr>
        <xdr:cNvPr id="2" name="Picture 1">
          <a:extLst>
            <a:ext uri="{FF2B5EF4-FFF2-40B4-BE49-F238E27FC236}">
              <a16:creationId xmlns:a16="http://schemas.microsoft.com/office/drawing/2014/main" id="{8234A214-65DF-48D6-B14F-DC9F035B68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7248" y="13607"/>
          <a:ext cx="2411518" cy="967468"/>
        </a:xfrm>
        <a:prstGeom prst="rect">
          <a:avLst/>
        </a:prstGeom>
      </xdr:spPr>
    </xdr:pic>
    <xdr:clientData/>
  </xdr:twoCellAnchor>
  <xdr:twoCellAnchor>
    <xdr:from>
      <xdr:col>0</xdr:col>
      <xdr:colOff>81643</xdr:colOff>
      <xdr:row>20</xdr:row>
      <xdr:rowOff>367392</xdr:rowOff>
    </xdr:from>
    <xdr:to>
      <xdr:col>3</xdr:col>
      <xdr:colOff>1823358</xdr:colOff>
      <xdr:row>32</xdr:row>
      <xdr:rowOff>149679</xdr:rowOff>
    </xdr:to>
    <xdr:graphicFrame macro="">
      <xdr:nvGraphicFramePr>
        <xdr:cNvPr id="3" name="Chart 2">
          <a:extLst>
            <a:ext uri="{FF2B5EF4-FFF2-40B4-BE49-F238E27FC236}">
              <a16:creationId xmlns:a16="http://schemas.microsoft.com/office/drawing/2014/main" id="{F9499101-7A74-48C7-A537-18E4B84D5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625928</xdr:colOff>
      <xdr:row>21</xdr:row>
      <xdr:rowOff>2720</xdr:rowOff>
    </xdr:from>
    <xdr:to>
      <xdr:col>8</xdr:col>
      <xdr:colOff>2490106</xdr:colOff>
      <xdr:row>32</xdr:row>
      <xdr:rowOff>136072</xdr:rowOff>
    </xdr:to>
    <xdr:graphicFrame macro="">
      <xdr:nvGraphicFramePr>
        <xdr:cNvPr id="4" name="Chart 3">
          <a:extLst>
            <a:ext uri="{FF2B5EF4-FFF2-40B4-BE49-F238E27FC236}">
              <a16:creationId xmlns:a16="http://schemas.microsoft.com/office/drawing/2014/main" id="{49168A54-2210-46E8-9549-9D63BD67B1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194248</xdr:colOff>
      <xdr:row>0</xdr:row>
      <xdr:rowOff>13607</xdr:rowOff>
    </xdr:from>
    <xdr:to>
      <xdr:col>9</xdr:col>
      <xdr:colOff>100691</xdr:colOff>
      <xdr:row>1</xdr:row>
      <xdr:rowOff>0</xdr:rowOff>
    </xdr:to>
    <xdr:pic>
      <xdr:nvPicPr>
        <xdr:cNvPr id="2" name="Picture 1">
          <a:extLst>
            <a:ext uri="{FF2B5EF4-FFF2-40B4-BE49-F238E27FC236}">
              <a16:creationId xmlns:a16="http://schemas.microsoft.com/office/drawing/2014/main" id="{D086505A-F5E8-4B98-865C-0B5C57B3A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7248" y="13607"/>
          <a:ext cx="2411518" cy="967468"/>
        </a:xfrm>
        <a:prstGeom prst="rect">
          <a:avLst/>
        </a:prstGeom>
      </xdr:spPr>
    </xdr:pic>
    <xdr:clientData/>
  </xdr:twoCellAnchor>
  <xdr:twoCellAnchor>
    <xdr:from>
      <xdr:col>0</xdr:col>
      <xdr:colOff>81643</xdr:colOff>
      <xdr:row>20</xdr:row>
      <xdr:rowOff>367392</xdr:rowOff>
    </xdr:from>
    <xdr:to>
      <xdr:col>3</xdr:col>
      <xdr:colOff>1823358</xdr:colOff>
      <xdr:row>32</xdr:row>
      <xdr:rowOff>149679</xdr:rowOff>
    </xdr:to>
    <xdr:graphicFrame macro="">
      <xdr:nvGraphicFramePr>
        <xdr:cNvPr id="3" name="Chart 2">
          <a:extLst>
            <a:ext uri="{FF2B5EF4-FFF2-40B4-BE49-F238E27FC236}">
              <a16:creationId xmlns:a16="http://schemas.microsoft.com/office/drawing/2014/main" id="{8EE5996B-BF93-4CFF-B5A6-9E622EF731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625928</xdr:colOff>
      <xdr:row>21</xdr:row>
      <xdr:rowOff>2720</xdr:rowOff>
    </xdr:from>
    <xdr:to>
      <xdr:col>8</xdr:col>
      <xdr:colOff>2490106</xdr:colOff>
      <xdr:row>32</xdr:row>
      <xdr:rowOff>136072</xdr:rowOff>
    </xdr:to>
    <xdr:graphicFrame macro="">
      <xdr:nvGraphicFramePr>
        <xdr:cNvPr id="4" name="Chart 3">
          <a:extLst>
            <a:ext uri="{FF2B5EF4-FFF2-40B4-BE49-F238E27FC236}">
              <a16:creationId xmlns:a16="http://schemas.microsoft.com/office/drawing/2014/main" id="{67A264C9-5C30-48E6-8598-1A21D3A6B0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8</xdr:col>
      <xdr:colOff>194248</xdr:colOff>
      <xdr:row>0</xdr:row>
      <xdr:rowOff>13607</xdr:rowOff>
    </xdr:from>
    <xdr:to>
      <xdr:col>9</xdr:col>
      <xdr:colOff>100691</xdr:colOff>
      <xdr:row>1</xdr:row>
      <xdr:rowOff>0</xdr:rowOff>
    </xdr:to>
    <xdr:pic>
      <xdr:nvPicPr>
        <xdr:cNvPr id="2" name="Picture 1">
          <a:extLst>
            <a:ext uri="{FF2B5EF4-FFF2-40B4-BE49-F238E27FC236}">
              <a16:creationId xmlns:a16="http://schemas.microsoft.com/office/drawing/2014/main" id="{43401F16-FCFC-481A-8898-4EF6DCD35F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7248" y="13607"/>
          <a:ext cx="2411518" cy="967468"/>
        </a:xfrm>
        <a:prstGeom prst="rect">
          <a:avLst/>
        </a:prstGeom>
      </xdr:spPr>
    </xdr:pic>
    <xdr:clientData/>
  </xdr:twoCellAnchor>
  <xdr:twoCellAnchor>
    <xdr:from>
      <xdr:col>0</xdr:col>
      <xdr:colOff>81643</xdr:colOff>
      <xdr:row>20</xdr:row>
      <xdr:rowOff>367392</xdr:rowOff>
    </xdr:from>
    <xdr:to>
      <xdr:col>3</xdr:col>
      <xdr:colOff>1823358</xdr:colOff>
      <xdr:row>32</xdr:row>
      <xdr:rowOff>149679</xdr:rowOff>
    </xdr:to>
    <xdr:graphicFrame macro="">
      <xdr:nvGraphicFramePr>
        <xdr:cNvPr id="3" name="Chart 2">
          <a:extLst>
            <a:ext uri="{FF2B5EF4-FFF2-40B4-BE49-F238E27FC236}">
              <a16:creationId xmlns:a16="http://schemas.microsoft.com/office/drawing/2014/main" id="{FE4273FE-21F7-4978-AD4D-370373847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625928</xdr:colOff>
      <xdr:row>21</xdr:row>
      <xdr:rowOff>2720</xdr:rowOff>
    </xdr:from>
    <xdr:to>
      <xdr:col>8</xdr:col>
      <xdr:colOff>2490106</xdr:colOff>
      <xdr:row>32</xdr:row>
      <xdr:rowOff>136072</xdr:rowOff>
    </xdr:to>
    <xdr:graphicFrame macro="">
      <xdr:nvGraphicFramePr>
        <xdr:cNvPr id="4" name="Chart 3">
          <a:extLst>
            <a:ext uri="{FF2B5EF4-FFF2-40B4-BE49-F238E27FC236}">
              <a16:creationId xmlns:a16="http://schemas.microsoft.com/office/drawing/2014/main" id="{F4B0DA6D-8CCA-43BC-92A8-C5CE4ACFF4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absolute">
    <xdr:from>
      <xdr:col>8</xdr:col>
      <xdr:colOff>194248</xdr:colOff>
      <xdr:row>0</xdr:row>
      <xdr:rowOff>13607</xdr:rowOff>
    </xdr:from>
    <xdr:to>
      <xdr:col>9</xdr:col>
      <xdr:colOff>100691</xdr:colOff>
      <xdr:row>1</xdr:row>
      <xdr:rowOff>0</xdr:rowOff>
    </xdr:to>
    <xdr:pic>
      <xdr:nvPicPr>
        <xdr:cNvPr id="2" name="Picture 1">
          <a:extLst>
            <a:ext uri="{FF2B5EF4-FFF2-40B4-BE49-F238E27FC236}">
              <a16:creationId xmlns:a16="http://schemas.microsoft.com/office/drawing/2014/main" id="{A4D77AA4-5DE8-415F-B86E-A7366515F6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7248" y="13607"/>
          <a:ext cx="2411518" cy="967468"/>
        </a:xfrm>
        <a:prstGeom prst="rect">
          <a:avLst/>
        </a:prstGeom>
      </xdr:spPr>
    </xdr:pic>
    <xdr:clientData/>
  </xdr:twoCellAnchor>
  <xdr:twoCellAnchor>
    <xdr:from>
      <xdr:col>0</xdr:col>
      <xdr:colOff>81643</xdr:colOff>
      <xdr:row>20</xdr:row>
      <xdr:rowOff>367392</xdr:rowOff>
    </xdr:from>
    <xdr:to>
      <xdr:col>3</xdr:col>
      <xdr:colOff>1823358</xdr:colOff>
      <xdr:row>32</xdr:row>
      <xdr:rowOff>149679</xdr:rowOff>
    </xdr:to>
    <xdr:graphicFrame macro="">
      <xdr:nvGraphicFramePr>
        <xdr:cNvPr id="3" name="Chart 2">
          <a:extLst>
            <a:ext uri="{FF2B5EF4-FFF2-40B4-BE49-F238E27FC236}">
              <a16:creationId xmlns:a16="http://schemas.microsoft.com/office/drawing/2014/main" id="{8FD06F51-A4EA-4433-BDB0-943314E59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625928</xdr:colOff>
      <xdr:row>21</xdr:row>
      <xdr:rowOff>2720</xdr:rowOff>
    </xdr:from>
    <xdr:to>
      <xdr:col>8</xdr:col>
      <xdr:colOff>2490106</xdr:colOff>
      <xdr:row>32</xdr:row>
      <xdr:rowOff>136072</xdr:rowOff>
    </xdr:to>
    <xdr:graphicFrame macro="">
      <xdr:nvGraphicFramePr>
        <xdr:cNvPr id="4" name="Chart 3">
          <a:extLst>
            <a:ext uri="{FF2B5EF4-FFF2-40B4-BE49-F238E27FC236}">
              <a16:creationId xmlns:a16="http://schemas.microsoft.com/office/drawing/2014/main" id="{C08D69EA-1B32-40CD-95C1-458C0056B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ny%20year%20one-month%20calendar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endar"/>
    </sheetNames>
    <definedNames>
      <definedName name="calendar" refersTo="#REF!" sheetId="0"/>
      <definedName name="firstdate" refersTo="#REF!" sheetId="0"/>
      <definedName name="MonthToDisplay" refersTo="='Calendar'!$C$1" sheetId="0"/>
      <definedName name="MonthToDisplayNumber" refersTo="#REF!" sheetId="0"/>
      <definedName name="YearToDisplay" refersTo="='Calendar'!$B$1" sheetId="0"/>
    </defined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98F7B531-7395-4703-A2D6-9B88B8A2BA1A}" name="Summary78" displayName="Summary78" ref="B2:E3" totalsRowShown="0" headerRowDxfId="1326" dataDxfId="1325" tableBorderDxfId="1324" headerRowCellStyle="Heading 1">
  <autoFilter ref="B2:E3" xr:uid="{98F7B531-7395-4703-A2D6-9B88B8A2BA1A}">
    <filterColumn colId="0" hiddenButton="1"/>
    <filterColumn colId="1" hiddenButton="1"/>
    <filterColumn colId="2" hiddenButton="1"/>
    <filterColumn colId="3" hiddenButton="1"/>
  </autoFilter>
  <tableColumns count="4">
    <tableColumn id="1" xr3:uid="{69EE6D2C-DFCF-4722-9CF4-E1C4FAAA0DA1}" name="Summary " dataDxfId="1323" dataCellStyle="Bottom border"/>
    <tableColumn id="2" xr3:uid="{8055F353-E936-4D24-BF55-7045B361C82E}" name="Total_x000a_budgeted cost" dataDxfId="1322" dataCellStyle="Bottom border">
      <calculatedColumnFormula>C19</calculatedColumnFormula>
    </tableColumn>
    <tableColumn id="3" xr3:uid="{F112D8E1-2798-4E10-8106-73FB74670717}" name="Total_x000a_actual cost" dataDxfId="1321" dataCellStyle="Bottom border">
      <calculatedColumnFormula>D19</calculatedColumnFormula>
    </tableColumn>
    <tableColumn id="4" xr3:uid="{8CB0CDCC-6690-4F8A-A797-EB9EDCC9E471}" name="Total_x000a_difference" dataDxfId="1320" dataCellStyle="Bottom border">
      <calculatedColumnFormula>SUM(C3-D3)</calculatedColumnFormula>
    </tableColumn>
  </tableColumns>
  <tableStyleInfo name="ActualMonthlyIncome" showFirstColumn="0" showLastColumn="0" showRowStripes="1" showColumnStripes="0"/>
  <extLst>
    <ext xmlns:x14="http://schemas.microsoft.com/office/spreadsheetml/2009/9/main" uri="{504A1905-F514-4f6f-8877-14C23A59335A}">
      <x14:table altTextSummary="Total Projected and Actual Costs, and Total Difference are auto calculated in this summary table"/>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Pets" displayName="Pets" ref="H27:L33" totalsRowCount="1" headerRowBorderDxfId="1258">
  <autoFilter ref="H27:L32" xr:uid="{00000000-000C-0000-FFFF-FFFF05000000}"/>
  <tableColumns count="5">
    <tableColumn id="1" xr3:uid="{00000000-0010-0000-0500-000001000000}" name="Pets" totalsRowLabel="Total" totalsRowDxfId="1257"/>
    <tableColumn id="2" xr3:uid="{00000000-0010-0000-0500-000002000000}" name="Budgeted_x000a_cost" totalsRowFunction="sum" totalsRowDxfId="1256"/>
    <tableColumn id="3" xr3:uid="{00000000-0010-0000-0500-000003000000}" name="Actual_x000a_cost" totalsRowFunction="sum" totalsRowDxfId="1255"/>
    <tableColumn id="5" xr3:uid="{CCF1F6E3-7ECD-4A5B-9683-D6667EB5C7FE}" name="Date due" dataDxfId="1253" totalsRowDxfId="1254" dataCellStyle="Amounts"/>
    <tableColumn id="4" xr3:uid="{00000000-0010-0000-0500-000004000000}" name="Difference" totalsRowFunction="sum" totalsRowDxfId="1252">
      <calculatedColumnFormula>Pets[[#This Row],[Budgeted
cost]]-Pets[[#This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F73E7D17-F3CF-4FEA-A6EA-1D3C54F6B8B4}" name="Summary798081828384" displayName="Summary798081828384" ref="B2:E3" totalsRowShown="0" headerRowDxfId="546" dataDxfId="545" tableBorderDxfId="544" headerRowCellStyle="Heading 1">
  <autoFilter ref="B2:E3" xr:uid="{00000000-0009-0000-0100-00000E000000}">
    <filterColumn colId="0" hiddenButton="1"/>
    <filterColumn colId="1" hiddenButton="1"/>
    <filterColumn colId="2" hiddenButton="1"/>
    <filterColumn colId="3" hiddenButton="1"/>
  </autoFilter>
  <tableColumns count="4">
    <tableColumn id="1" xr3:uid="{F9955706-DE06-4434-914E-62F6E28EC67B}" name="Summary " dataDxfId="543" dataCellStyle="Bottom border"/>
    <tableColumn id="2" xr3:uid="{568FA1D9-1D49-4541-A86A-0D1E55AF0E81}" name="Total_x000a_budgeted cost" dataDxfId="542" dataCellStyle="Bottom border">
      <calculatedColumnFormula>C19</calculatedColumnFormula>
    </tableColumn>
    <tableColumn id="3" xr3:uid="{DC1E12F2-A576-4A30-807F-B1A34C776E64}" name="Total_x000a_actual cost" dataDxfId="541" dataCellStyle="Bottom border">
      <calculatedColumnFormula>D19</calculatedColumnFormula>
    </tableColumn>
    <tableColumn id="4" xr3:uid="{1EB089FA-FA03-4FCB-B5A2-2C3B802BC8BA}" name="Total_x000a_difference" dataDxfId="540" dataCellStyle="Bottom border">
      <calculatedColumnFormula>SUM(C3-D3)</calculatedColumnFormula>
    </tableColumn>
  </tableColumns>
  <tableStyleInfo name="ActualMonthlyIncome" showFirstColumn="0" showLastColumn="0" showRowStripes="1" showColumnStripes="0"/>
  <extLst>
    <ext xmlns:x14="http://schemas.microsoft.com/office/spreadsheetml/2009/9/main" uri="{504A1905-F514-4f6f-8877-14C23A59335A}">
      <x14:table altTextSummary="Total Projected and Actual Costs, and Total Difference are auto calculated in this summary table"/>
    </ext>
  </extLst>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4C1D4B80-00BF-4F2E-8C3D-25DBD80681E8}" name="Legal90103116129142155168" displayName="Legal90103116129142155168" ref="B56:F62" totalsRowCount="1" headerRowBorderDxfId="537">
  <autoFilter ref="B56:F61" xr:uid="{00000000-000C-0000-FFFF-FFFF0C000000}"/>
  <tableColumns count="5">
    <tableColumn id="1" xr3:uid="{13838BE1-249E-4A9F-B617-C1C0AEC4E37D}" name="Legal" totalsRowLabel="Total" totalsRowDxfId="536"/>
    <tableColumn id="2" xr3:uid="{08619E3B-2E70-4824-B3DC-1D7C2BB0C399}" name="Budgeted_x000a_cost" totalsRowFunction="sum" totalsRowDxfId="535"/>
    <tableColumn id="3" xr3:uid="{FB4BD660-F870-4239-A985-8083BFEB3D80}" name="Actual_x000a_cost" totalsRowFunction="sum" totalsRowDxfId="534"/>
    <tableColumn id="5" xr3:uid="{2CEC72B0-0777-4353-B6CD-BB640D04421E}" name="Date due" dataDxfId="532" totalsRowDxfId="533" dataCellStyle="Amounts"/>
    <tableColumn id="4" xr3:uid="{D28495BC-544E-4F9C-BCE3-023339409985}" name="Difference" totalsRowFunction="sum" totalsRowDxfId="531">
      <calculatedColumnFormula>Legal90103116129142155168[[#This Row],[Budgeted
cost]]-Legal90103116129142155168[[#This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4E9BCCF4-C536-480B-B21F-CD504F58D665}" name="Gifts91104117130143156169" displayName="Gifts91104117130143156169" ref="H56:L60" totalsRowCount="1" headerRowBorderDxfId="530">
  <autoFilter ref="H56:L59" xr:uid="{00000000-000C-0000-FFFF-FFFF0B000000}"/>
  <tableColumns count="5">
    <tableColumn id="1" xr3:uid="{40A47675-BBF1-4260-B173-9EEC78601BC0}" name="Gifts and donations" totalsRowLabel="Total" totalsRowDxfId="529"/>
    <tableColumn id="2" xr3:uid="{66B3C093-FB11-4809-A445-64F58415CBB0}" name="Budgeted_x000a_cost" totalsRowFunction="sum" totalsRowDxfId="528"/>
    <tableColumn id="3" xr3:uid="{4FDD4D31-8008-442A-93DC-BC9C87D076A8}" name="Actual_x000a_cost" totalsRowFunction="sum" totalsRowDxfId="527"/>
    <tableColumn id="5" xr3:uid="{17A3110A-48F6-4242-B22B-0ADA28294C39}" name="Date due" dataDxfId="525" totalsRowDxfId="526" dataCellStyle="Amounts"/>
    <tableColumn id="4" xr3:uid="{581A34B8-6801-410F-832C-D2E3B6C6AF6C}" name="Difference" totalsRowFunction="sum" totalsRowDxfId="524">
      <calculatedColumnFormula>Gifts91104117130143156169[[#This Row],[Budgeted
cost]]-Gifts91104117130143156169[[#This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49748CD5-756D-4C75-993F-54B93206D162}" name="Savings92105118131144157170" displayName="Savings92105118131144157170" ref="H2:L10" totalsRowCount="1" headerRowBorderDxfId="523">
  <autoFilter ref="H2:L9" xr:uid="{00000000-000C-0000-FFFF-FFFF0A000000}"/>
  <tableColumns count="5">
    <tableColumn id="1" xr3:uid="{68E83FF8-55F6-4302-9267-3FFA780D2FB0}" name="Savings/investments" totalsRowLabel="Total" totalsRowDxfId="522"/>
    <tableColumn id="2" xr3:uid="{098C82AB-98C2-439D-A4E5-3BD99DBB2E02}" name="Budgeted_x000a_cost" totalsRowFunction="sum" totalsRowDxfId="521"/>
    <tableColumn id="3" xr3:uid="{EED4DD5E-1CD2-47EF-B9EF-A9A0FC78B665}" name="Actual_x000a_cost" totalsRowFunction="sum" totalsRowDxfId="520"/>
    <tableColumn id="5" xr3:uid="{5AE33DEA-8593-4BCF-858E-60AF3830A473}" name="Date due" dataDxfId="518" totalsRowDxfId="519" dataCellStyle="Amounts"/>
    <tableColumn id="4" xr3:uid="{9C5CBF6A-BAFF-4DAE-B5E0-7DF0617A8CA3}" name="Difference" totalsRowFunction="sum" totalsRowDxfId="517">
      <calculatedColumnFormula>Savings92105118131144157170[[#This Row],[Budgeted
cost]]-Savings92105118131144157170[[#This Row],[Actual
cost]]</calculatedColumnFormula>
    </tableColumn>
  </tableColumns>
  <tableStyleInfo name="Monthly Family Budget" showFirstColumn="1"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D42FA5EE-61E5-4EFD-B6A2-33A4B7E334EB}" name="Taxes93106119132145158171" displayName="Taxes93106119132145158171" ref="H35:L40" totalsRowCount="1" headerRowBorderDxfId="516">
  <autoFilter ref="H35:L39" xr:uid="{00000000-000C-0000-FFFF-FFFF09000000}"/>
  <tableColumns count="5">
    <tableColumn id="1" xr3:uid="{EC795816-4FB1-4E02-8660-05E9CE5BA0C8}" name="Taxes" totalsRowLabel="Total" totalsRowDxfId="515"/>
    <tableColumn id="2" xr3:uid="{F8E677F0-A437-4BDB-9681-7E8B003E19CA}" name="Budgeted _x000a_cost" totalsRowFunction="sum" totalsRowDxfId="514"/>
    <tableColumn id="3" xr3:uid="{75D68ECE-34FC-4BFA-8524-70B7CB96317B}" name="Actual _x000a_cost" totalsRowFunction="sum" totalsRowDxfId="513"/>
    <tableColumn id="5" xr3:uid="{316D6060-1213-4854-B549-D8AAD28520BB}" name="Date due" dataDxfId="511" totalsRowDxfId="512" dataCellStyle="Amounts"/>
    <tableColumn id="4" xr3:uid="{1BF2A2E6-86B5-4B06-A09B-958A281B7680}" name="Difference" totalsRowFunction="sum" totalsRowDxfId="510">
      <calculatedColumnFormula>Taxes93106119132145158171[[#This Row],[Budgeted 
cost]]-Taxes93106119132145158171[[#This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67DDB9F5-C4FC-44E2-8DEC-6F2CDE5A43DF}" name="Loans94107120133146159172" displayName="Loans94107120133146159172" ref="H43:L51" totalsRowCount="1" headerRowBorderDxfId="509">
  <autoFilter ref="H43:L50" xr:uid="{00000000-000C-0000-FFFF-FFFF08000000}"/>
  <tableColumns count="5">
    <tableColumn id="1" xr3:uid="{62C66B71-0922-4F05-BBEB-D1F5B0462AD2}" name="Loans" totalsRowLabel="Total" totalsRowDxfId="508"/>
    <tableColumn id="2" xr3:uid="{F6EEC970-E9EC-4E92-90CD-D00A8C84EFDB}" name="Budgeted_x000a_cost" totalsRowFunction="sum" totalsRowDxfId="507"/>
    <tableColumn id="3" xr3:uid="{2CCE876F-BBB5-410D-A2CB-0426E61BB78C}" name="Actual_x000a_cost" totalsRowFunction="sum" totalsRowDxfId="506"/>
    <tableColumn id="5" xr3:uid="{648A32B4-0E9F-4587-A135-817725A154C1}" name="Date due" dataDxfId="504" totalsRowDxfId="505" dataCellStyle="Amounts"/>
    <tableColumn id="4" xr3:uid="{FFF1A6AD-74F6-4983-8880-ED977082CDBD}" name="Difference" totalsRowFunction="sum" totalsRowDxfId="503">
      <calculatedColumnFormula>Loans94107120133146159172[[#This Row],[Budgeted
cost]]-Loans94107120133146159172[[#This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7D1C8867-94F3-4D4E-97B4-D3A2F4481DD3}" name="Entertainment95108121134147160173" displayName="Entertainment95108121134147160173" ref="B64:F72" totalsRowCount="1" headerRowBorderDxfId="502">
  <autoFilter ref="B64:F71" xr:uid="{00000000-000C-0000-FFFF-FFFF07000000}"/>
  <tableColumns count="5">
    <tableColumn id="1" xr3:uid="{074A4150-74DE-4E99-851F-5C3961F91175}" name="Entertainment" totalsRowLabel="Total" totalsRowDxfId="501"/>
    <tableColumn id="2" xr3:uid="{61DAAA51-1AED-4A3A-8E08-03541716D4CB}" name="Budgeted_x000a_cost" totalsRowFunction="sum" totalsRowDxfId="500"/>
    <tableColumn id="3" xr3:uid="{FD1DFCD3-3D43-47D1-9B75-682BC3B31317}" name="Actual_x000a_cost" totalsRowFunction="sum" totalsRowDxfId="499"/>
    <tableColumn id="5" xr3:uid="{CD2A59EA-3E4F-4C13-90E3-7FC8BE8C2E95}" name="Date due" dataDxfId="497" totalsRowDxfId="498" dataCellStyle="Amounts"/>
    <tableColumn id="4" xr3:uid="{F745065C-9858-4A14-86CA-0A3536F35429}" name="Difference" totalsRowFunction="sum" totalsRowDxfId="496">
      <calculatedColumnFormula>Entertainment95108121134147160173[[#This Row],[Budgeted
cost]]-Entertainment95108121134147160173[[#This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110CB650-7D7D-4103-984B-91B6B385C6E0}" name="PersonalCare96109122135148161174" displayName="PersonalCare96109122135148161174" ref="H15:L24" totalsRowCount="1" headerRowBorderDxfId="495">
  <autoFilter ref="H15:L23" xr:uid="{00000000-000C-0000-FFFF-FFFF06000000}"/>
  <tableColumns count="5">
    <tableColumn id="1" xr3:uid="{0E14E8C4-2980-436E-ADBD-68DB92AA1002}" name="Personal care" totalsRowLabel="Total" totalsRowDxfId="494"/>
    <tableColumn id="2" xr3:uid="{1DEFB8B0-7BF8-49E7-A6E7-DFA194138307}" name="Budgeted_x000a_cost" totalsRowFunction="sum" totalsRowDxfId="493"/>
    <tableColumn id="3" xr3:uid="{A2CA348F-D721-489F-9BF2-1AC6ADE881B1}" name="Actual_x000a_cost" totalsRowFunction="sum" totalsRowDxfId="492"/>
    <tableColumn id="5" xr3:uid="{FDEF59D1-62A7-4597-A8AE-B207C47D5BD7}" name="Date due" dataDxfId="490" totalsRowDxfId="491" dataCellStyle="Amounts"/>
    <tableColumn id="4" xr3:uid="{1B039162-6194-4F66-A327-19708E08C8A9}" name="Difference" totalsRowFunction="sum" totalsRowDxfId="489">
      <calculatedColumnFormula>PersonalCare96109122135148161174[[#This Row],[Budgeted
cost]]-PersonalCare96109122135148161174[[#This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A6A1D451-B5C3-4FF2-9B6B-3584AAAE0832}" name="Pets97110123136149162175" displayName="Pets97110123136149162175" ref="H27:L33" totalsRowCount="1" headerRowBorderDxfId="488">
  <autoFilter ref="H27:L32" xr:uid="{00000000-000C-0000-FFFF-FFFF05000000}"/>
  <tableColumns count="5">
    <tableColumn id="1" xr3:uid="{1B7CB89E-0850-49B2-9402-5A8019F01200}" name="Pets" totalsRowLabel="Total" totalsRowDxfId="487"/>
    <tableColumn id="2" xr3:uid="{C277628B-58E8-4C26-841A-348750FEC60E}" name="Budgeted_x000a_cost" totalsRowFunction="sum" totalsRowDxfId="486"/>
    <tableColumn id="3" xr3:uid="{A584C709-68B7-47B3-BFCA-4681E5120BAF}" name="Actual_x000a_cost" totalsRowFunction="sum" totalsRowDxfId="485"/>
    <tableColumn id="5" xr3:uid="{7915CBC4-F0DB-4B45-8F0D-BA038989AEA1}" name="Date due" dataDxfId="483" totalsRowDxfId="484" dataCellStyle="Amounts"/>
    <tableColumn id="4" xr3:uid="{A73193C5-6E34-4662-A8B3-5DECD873DBF7}" name="Difference" totalsRowFunction="sum" totalsRowDxfId="482">
      <calculatedColumnFormula>Pets97110123136149162175[[#This Row],[Budgeted
cost]]-Pets97110123136149162175[[#This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4BD7900E-4004-4D32-9687-9EB3AEA22905}" name="Children98111124137150163176" displayName="Children98111124137150163176" ref="B43:F54" totalsRowCount="1" headerRowBorderDxfId="481">
  <autoFilter ref="B43:F53" xr:uid="{00000000-000C-0000-FFFF-FFFF04000000}"/>
  <tableColumns count="5">
    <tableColumn id="1" xr3:uid="{1979D831-80FA-4D16-84C6-A9917BC91156}" name="Children" totalsRowLabel="Total" totalsRowDxfId="480"/>
    <tableColumn id="2" xr3:uid="{D7E51D58-9CF6-46BF-A8EC-95763AA1A570}" name="Budgeted_x000a_cost" totalsRowFunction="sum" totalsRowDxfId="479"/>
    <tableColumn id="3" xr3:uid="{1D1F90CC-6BA3-469C-ABA4-D8E0AE0734F4}" name="Actual_x000a_cost" totalsRowFunction="sum" totalsRowDxfId="478"/>
    <tableColumn id="5" xr3:uid="{EE82EDD9-FBFC-451C-BC9B-671FC9019C36}" name="Date due" dataDxfId="476" totalsRowDxfId="477" dataCellStyle="Amounts"/>
    <tableColumn id="4" xr3:uid="{3D906EF7-566C-434F-8F66-74E542F4DE24}" name="Difference" totalsRowFunction="sum" totalsRowDxfId="475">
      <calculatedColumnFormula>Children98111124137150163176[[#This Row],[Budgeted
cost]]-Children98111124137150163176[[#This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hildren" displayName="Children" ref="B43:F54" totalsRowCount="1" headerRowBorderDxfId="1251">
  <autoFilter ref="B43:F53" xr:uid="{00000000-000C-0000-FFFF-FFFF04000000}"/>
  <tableColumns count="5">
    <tableColumn id="1" xr3:uid="{00000000-0010-0000-0400-000001000000}" name="Children" totalsRowLabel="Total" totalsRowDxfId="1250"/>
    <tableColumn id="2" xr3:uid="{00000000-0010-0000-0400-000002000000}" name="Budgeted_x000a_cost" totalsRowFunction="sum" totalsRowDxfId="1249"/>
    <tableColumn id="3" xr3:uid="{00000000-0010-0000-0400-000003000000}" name="Actual_x000a_cost" totalsRowFunction="sum" totalsRowDxfId="1248"/>
    <tableColumn id="5" xr3:uid="{4CF095FA-389F-4A4F-8AF3-B74A91F567E1}" name="Date due" dataDxfId="1246" totalsRowDxfId="1247" dataCellStyle="Amounts"/>
    <tableColumn id="4" xr3:uid="{00000000-0010-0000-0400-000004000000}" name="Difference" totalsRowFunction="sum" totalsRowDxfId="1245">
      <calculatedColumnFormula>Children[[#This Row],[Budgeted
cost]]-Children[[#This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CC52953E-1AFD-419B-9F58-59FC54019897}" name="Food99112125138151164177" displayName="Food99112125138151164177" ref="B35:F41" totalsRowCount="1" headerRowBorderDxfId="474">
  <autoFilter ref="B35:F40" xr:uid="{00000000-000C-0000-FFFF-FFFF03000000}"/>
  <tableColumns count="5">
    <tableColumn id="1" xr3:uid="{7F7F68E2-BE77-43A0-A6FD-3B40EBF5DBD6}" name="Food" totalsRowLabel="Total" totalsRowDxfId="473"/>
    <tableColumn id="2" xr3:uid="{C5CA54C6-D7FE-4A5B-8203-F5E90FC8DD1A}" name="Budgeted_x000a_cost" totalsRowFunction="sum" totalsRowDxfId="472"/>
    <tableColumn id="3" xr3:uid="{3ED1C221-57D0-4018-938A-557876370D78}" name="Actual_x000a_cost" totalsRowFunction="sum" totalsRowDxfId="471"/>
    <tableColumn id="6" xr3:uid="{7F572D14-5D2D-4395-8ABE-F838F1112F83}" name="Date due" dataDxfId="469" totalsRowDxfId="470" dataCellStyle="Amounts"/>
    <tableColumn id="4" xr3:uid="{877A3858-9D9B-45A8-A9C3-60C8829D9FA9}" name="Difference" totalsRowFunction="sum" totalsRowDxfId="468">
      <calculatedColumnFormula>Food99112125138151164177[[#This Row],[Budgeted
cost]]-Food99112125138151164177[[#This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124888C4-0EC5-4EC3-94A8-2FE13A1F0ADB}" name="Insurance100113126139152165178" displayName="Insurance100113126139152165178" ref="B27:F33" totalsRowCount="1" headerRowBorderDxfId="467">
  <autoFilter ref="B27:F32" xr:uid="{00000000-000C-0000-FFFF-FFFF02000000}"/>
  <tableColumns count="5">
    <tableColumn id="1" xr3:uid="{37138145-1BF5-4AF2-9A17-6A4711C9748D}" name="Insurance" totalsRowLabel="Total" totalsRowDxfId="466"/>
    <tableColumn id="2" xr3:uid="{6328DFDA-7299-4B39-B5EA-91B91F23D1FC}" name="Budgeted_x000a_cost" totalsRowFunction="sum" totalsRowDxfId="465"/>
    <tableColumn id="3" xr3:uid="{583AE62F-73C3-4263-AF61-C259A4BA4E64}" name="Actual_x000a_cost" totalsRowFunction="sum" totalsRowDxfId="464"/>
    <tableColumn id="5" xr3:uid="{2700D3ED-11FC-4C92-8334-D6C4154A3D71}" name="Date due" dataDxfId="462" totalsRowDxfId="463" dataCellStyle="Amounts"/>
    <tableColumn id="4" xr3:uid="{74F74C09-DB00-4A9C-853E-BF4A97BE386A}" name="Difference" totalsRowFunction="sum" totalsRowDxfId="461">
      <calculatedColumnFormula>Insurance100113126139152165178[[#This Row],[Budgeted
cost]]-Insurance100113126139152165178[[#This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384AFC59-50DF-4430-A47B-E449055F2CD4}" name="Transportation101114127140153166179" displayName="Transportation101114127140153166179" ref="B15:F25" totalsRowCount="1" headerRowBorderDxfId="460">
  <autoFilter ref="B15:F24" xr:uid="{00000000-000C-0000-FFFF-FFFF01000000}"/>
  <tableColumns count="5">
    <tableColumn id="1" xr3:uid="{C3091AD0-8985-4605-A601-1BE503B835F4}" name="Transportation" totalsRowLabel="Total" totalsRowDxfId="459"/>
    <tableColumn id="2" xr3:uid="{F8D00AD9-2AF4-41A1-BB0A-B3BDA672AFD5}" name="Budgeted_x000a_cost" totalsRowFunction="sum" totalsRowDxfId="458"/>
    <tableColumn id="3" xr3:uid="{6C5B9577-B2E0-4240-9FF6-DE350F778689}" name="Actual_x000a_cost" totalsRowFunction="sum" totalsRowDxfId="457"/>
    <tableColumn id="6" xr3:uid="{07047F5F-00E6-45B8-B990-35E05412A0FF}" name="Date due" dataDxfId="455" totalsRowDxfId="456" dataCellStyle="Amounts"/>
    <tableColumn id="4" xr3:uid="{C8631AAC-0AF6-42CA-BC5A-F1EC13FA71C1}" name="Difference" totalsRowFunction="sum" totalsRowDxfId="454">
      <calculatedColumnFormula>Transportation101114127140153166179[[#This Row],[Budgeted
cost]]-Transportation101114127140153166179[[#This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39E661DE-19F1-49D1-AC6B-819A00521114}" name="Housing102115128141154167180" displayName="Housing102115128141154167180" ref="B2:F13" totalsRowCount="1" headerRowDxfId="453" dataDxfId="452" totalsRowDxfId="451" headerRowBorderDxfId="449" tableBorderDxfId="450" dataCellStyle="Amounts">
  <autoFilter ref="B2:F12" xr:uid="{00000000-000C-0000-FFFF-FFFF00000000}"/>
  <tableColumns count="5">
    <tableColumn id="1" xr3:uid="{42CB6489-25D8-4638-A1FF-7DF7CF60EDE4}" name="Housing" totalsRowLabel="Total" dataDxfId="447" totalsRowDxfId="448"/>
    <tableColumn id="2" xr3:uid="{3ACE5465-2DF6-4CF3-B1BC-722252ACE85A}" name="Budgeted_x000a_cost" totalsRowFunction="sum" dataDxfId="445" totalsRowDxfId="446" dataCellStyle="Amounts"/>
    <tableColumn id="3" xr3:uid="{BED6B542-55C3-4CA5-A760-C332AA4D274D}" name="Actual_x000a_cost" totalsRowFunction="sum" dataDxfId="443" totalsRowDxfId="444" dataCellStyle="Amounts"/>
    <tableColumn id="5" xr3:uid="{FD5482ED-580D-4DA6-9E59-0478FDE4637E}" name="Date due" dataDxfId="442" dataCellStyle="Amounts"/>
    <tableColumn id="4" xr3:uid="{85FC249C-7A02-4949-A034-186793F99BC9}" name="Difference" totalsRowFunction="sum" dataDxfId="440" totalsRowDxfId="441" dataCellStyle="Amounts">
      <calculatedColumnFormula>Housing102115128141154167180[[#This Row],[Budgeted
cost]]-Housing102115128141154167180[[#This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B12289CB-B919-485D-A2F9-6DD5010583B4}" name="Summary79808182838485" displayName="Summary79808182838485" ref="B2:E3" totalsRowShown="0" headerRowDxfId="436" dataDxfId="435" tableBorderDxfId="434" headerRowCellStyle="Heading 1">
  <autoFilter ref="B2:E3" xr:uid="{00000000-0009-0000-0100-00000E000000}">
    <filterColumn colId="0" hiddenButton="1"/>
    <filterColumn colId="1" hiddenButton="1"/>
    <filterColumn colId="2" hiddenButton="1"/>
    <filterColumn colId="3" hiddenButton="1"/>
  </autoFilter>
  <tableColumns count="4">
    <tableColumn id="1" xr3:uid="{9107DD50-E436-4406-8368-0516119A6DD3}" name="Summary " dataDxfId="433" dataCellStyle="Bottom border"/>
    <tableColumn id="2" xr3:uid="{7071027D-723B-440D-AF85-F3D69F2D87C6}" name="Total_x000a_budgeted cost" dataDxfId="432" dataCellStyle="Bottom border">
      <calculatedColumnFormula>C19</calculatedColumnFormula>
    </tableColumn>
    <tableColumn id="3" xr3:uid="{EBA4D5AF-D964-4B72-B30C-1A4C9637FA79}" name="Total_x000a_actual cost" dataDxfId="431" dataCellStyle="Bottom border">
      <calculatedColumnFormula>D19</calculatedColumnFormula>
    </tableColumn>
    <tableColumn id="4" xr3:uid="{93F83B18-0011-433D-9CE8-C5AC821C2205}" name="Total_x000a_difference" dataDxfId="430" dataCellStyle="Bottom border">
      <calculatedColumnFormula>SUM(C3-D3)</calculatedColumnFormula>
    </tableColumn>
  </tableColumns>
  <tableStyleInfo name="ActualMonthlyIncome" showFirstColumn="0" showLastColumn="0" showRowStripes="1" showColumnStripes="0"/>
  <extLst>
    <ext xmlns:x14="http://schemas.microsoft.com/office/spreadsheetml/2009/9/main" uri="{504A1905-F514-4f6f-8877-14C23A59335A}">
      <x14:table altTextSummary="Total Projected and Actual Costs, and Total Difference are auto calculated in this summary table"/>
    </ext>
  </extLst>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2674D576-4344-4293-AC3D-97A0267C0AD1}" name="Legal90103116129142155168181" displayName="Legal90103116129142155168181" ref="B56:F62" totalsRowCount="1" headerRowBorderDxfId="427">
  <autoFilter ref="B56:F61" xr:uid="{00000000-000C-0000-FFFF-FFFF0C000000}"/>
  <tableColumns count="5">
    <tableColumn id="1" xr3:uid="{D1CBE12A-832B-4199-A2FC-F59FD7BBD62F}" name="Legal" totalsRowLabel="Total" totalsRowDxfId="426"/>
    <tableColumn id="2" xr3:uid="{823AF74C-2FF0-4C52-A723-AB5ECCB80F28}" name="Budgeted_x000a_cost" totalsRowFunction="sum" totalsRowDxfId="425"/>
    <tableColumn id="3" xr3:uid="{11043C24-3EE3-4E66-B3D4-2C8A56D4941F}" name="Actual_x000a_cost" totalsRowFunction="sum" totalsRowDxfId="424"/>
    <tableColumn id="5" xr3:uid="{A0E126E6-8C0A-4626-A061-BF79EFB2D62B}" name="Date due" dataDxfId="422" totalsRowDxfId="423" dataCellStyle="Amounts"/>
    <tableColumn id="4" xr3:uid="{7550F821-C31D-4DB4-9FC7-937466B33E4B}" name="Difference" totalsRowFunction="sum" totalsRowDxfId="421">
      <calculatedColumnFormula>Legal90103116129142155168181[[#This Row],[Budgeted
cost]]-Legal90103116129142155168181[[#This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262DD455-6674-4980-989E-C5902ECDC1CC}" name="Gifts91104117130143156169182" displayName="Gifts91104117130143156169182" ref="H56:L60" totalsRowCount="1" headerRowBorderDxfId="420">
  <autoFilter ref="H56:L59" xr:uid="{00000000-000C-0000-FFFF-FFFF0B000000}"/>
  <tableColumns count="5">
    <tableColumn id="1" xr3:uid="{688E35D1-B9E0-40B8-A412-CCD6246ED57B}" name="Gifts and donations" totalsRowLabel="Total" totalsRowDxfId="419"/>
    <tableColumn id="2" xr3:uid="{28B8E6CA-892A-4B33-94F8-356F2DDCC873}" name="Budgeted_x000a_cost" totalsRowFunction="sum" totalsRowDxfId="418"/>
    <tableColumn id="3" xr3:uid="{C3693B77-503C-477C-8D08-50742842DBE1}" name="Actual_x000a_cost" totalsRowFunction="sum" totalsRowDxfId="417"/>
    <tableColumn id="5" xr3:uid="{87780741-5BF1-49CB-B4EE-AE69302BFC50}" name="Date due" dataDxfId="415" totalsRowDxfId="416" dataCellStyle="Amounts"/>
    <tableColumn id="4" xr3:uid="{E47C423C-B19B-43E4-AF86-44693BB0F3F0}" name="Difference" totalsRowFunction="sum" totalsRowDxfId="414">
      <calculatedColumnFormula>Gifts91104117130143156169182[[#This Row],[Budgeted
cost]]-Gifts91104117130143156169182[[#This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55883EDB-A803-4049-BC59-6AE693794F35}" name="Savings92105118131144157170183" displayName="Savings92105118131144157170183" ref="H2:L10" totalsRowCount="1" headerRowBorderDxfId="413">
  <autoFilter ref="H2:L9" xr:uid="{00000000-000C-0000-FFFF-FFFF0A000000}"/>
  <tableColumns count="5">
    <tableColumn id="1" xr3:uid="{629BD334-B154-4AE3-B99D-36CC414A57AD}" name="Savings/investments" totalsRowLabel="Total" totalsRowDxfId="412"/>
    <tableColumn id="2" xr3:uid="{940D3CDF-994B-47CA-988E-589DAF1A8BC2}" name="Budgeted_x000a_cost" totalsRowFunction="sum" totalsRowDxfId="411"/>
    <tableColumn id="3" xr3:uid="{57C64DE7-8FC2-4072-9C23-3CF557932AA6}" name="Actual_x000a_cost" totalsRowFunction="sum" totalsRowDxfId="410"/>
    <tableColumn id="5" xr3:uid="{D3E5699A-7EB8-44AC-A4C4-2D50894D800D}" name="Date due" dataDxfId="408" totalsRowDxfId="409" dataCellStyle="Amounts"/>
    <tableColumn id="4" xr3:uid="{37DE19DB-5465-4BEF-90F9-05E019D0EF5F}" name="Difference" totalsRowFunction="sum" totalsRowDxfId="407">
      <calculatedColumnFormula>Savings92105118131144157170183[[#This Row],[Budgeted
cost]]-Savings92105118131144157170183[[#This Row],[Actual
cost]]</calculatedColumnFormula>
    </tableColumn>
  </tableColumns>
  <tableStyleInfo name="Monthly Family Budget" showFirstColumn="1"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90302143-5EC5-4384-BCAC-655279FCCDFB}" name="Taxes93106119132145158171184" displayName="Taxes93106119132145158171184" ref="H35:L40" totalsRowCount="1" headerRowBorderDxfId="406">
  <autoFilter ref="H35:L39" xr:uid="{00000000-000C-0000-FFFF-FFFF09000000}"/>
  <tableColumns count="5">
    <tableColumn id="1" xr3:uid="{3FBA791E-D0E9-47F4-B0E5-B37A2F701C38}" name="Taxes" totalsRowLabel="Total" totalsRowDxfId="405"/>
    <tableColumn id="2" xr3:uid="{D83DD7BA-C991-455B-A4C6-3E7EA78A0A7C}" name="Budgeted _x000a_cost" totalsRowFunction="sum" totalsRowDxfId="404"/>
    <tableColumn id="3" xr3:uid="{3B1A47C0-F9A5-4F85-945B-789AA1F4C533}" name="Actual _x000a_cost" totalsRowFunction="sum" totalsRowDxfId="403"/>
    <tableColumn id="5" xr3:uid="{1284A8B3-5489-44C1-BAC4-B4A8986A9DD6}" name="Date due" dataDxfId="401" totalsRowDxfId="402" dataCellStyle="Amounts"/>
    <tableColumn id="4" xr3:uid="{5439D6D6-B94C-4EA3-9FD7-BA16512C989E}" name="Difference" totalsRowFunction="sum" totalsRowDxfId="400">
      <calculatedColumnFormula>Taxes93106119132145158171184[[#This Row],[Budgeted 
cost]]-Taxes93106119132145158171184[[#This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AD046461-1E3F-4A38-B702-3AAABB06A395}" name="Loans94107120133146159172185" displayName="Loans94107120133146159172185" ref="H43:L51" totalsRowCount="1" headerRowBorderDxfId="399">
  <autoFilter ref="H43:L50" xr:uid="{00000000-000C-0000-FFFF-FFFF08000000}"/>
  <tableColumns count="5">
    <tableColumn id="1" xr3:uid="{F520A69D-CEA5-458C-AF70-5FAE903CF1AE}" name="Loans" totalsRowLabel="Total" totalsRowDxfId="398"/>
    <tableColumn id="2" xr3:uid="{4EADD8DE-3D56-4FD5-B146-C2456CFC4A3B}" name="Budgeted_x000a_cost" totalsRowFunction="sum" totalsRowDxfId="397"/>
    <tableColumn id="3" xr3:uid="{AB6B7CEC-2853-461C-9A13-B9871DEEBB1C}" name="Actual_x000a_cost" totalsRowFunction="sum" totalsRowDxfId="396"/>
    <tableColumn id="5" xr3:uid="{43605D0B-3053-4F52-B75D-4338BFAB8FBF}" name="Date due" dataDxfId="394" totalsRowDxfId="395" dataCellStyle="Amounts"/>
    <tableColumn id="4" xr3:uid="{362C36FA-835A-4865-AE3E-6A774DCEB651}" name="Difference" totalsRowFunction="sum" totalsRowDxfId="393">
      <calculatedColumnFormula>Loans94107120133146159172185[[#This Row],[Budgeted
cost]]-Loans94107120133146159172185[[#This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Food" displayName="Food" ref="B35:F41" totalsRowCount="1" headerRowBorderDxfId="1244">
  <autoFilter ref="B35:F40" xr:uid="{00000000-000C-0000-FFFF-FFFF03000000}"/>
  <tableColumns count="5">
    <tableColumn id="1" xr3:uid="{00000000-0010-0000-0300-000001000000}" name="Food" totalsRowLabel="Total" totalsRowDxfId="1243"/>
    <tableColumn id="2" xr3:uid="{00000000-0010-0000-0300-000002000000}" name="Budgeted_x000a_cost" totalsRowFunction="sum" totalsRowDxfId="1242"/>
    <tableColumn id="3" xr3:uid="{00000000-0010-0000-0300-000003000000}" name="Actual_x000a_cost" totalsRowFunction="sum" totalsRowDxfId="1241"/>
    <tableColumn id="6" xr3:uid="{12C93674-25B0-4DDF-87EC-1C9AA4DA7FE0}" name="Date due" dataDxfId="1239" totalsRowDxfId="1240" dataCellStyle="Amounts"/>
    <tableColumn id="4" xr3:uid="{00000000-0010-0000-0300-000004000000}" name="Difference" totalsRowFunction="sum" totalsRowDxfId="1238">
      <calculatedColumnFormula>Food[[#This Row],[Budgeted
cost]]-Food[[#This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10A206A2-5B6F-4E34-B96D-1780EE0AD07B}" name="Entertainment95108121134147160173186" displayName="Entertainment95108121134147160173186" ref="B64:F72" totalsRowCount="1" headerRowBorderDxfId="392">
  <autoFilter ref="B64:F71" xr:uid="{00000000-000C-0000-FFFF-FFFF07000000}"/>
  <tableColumns count="5">
    <tableColumn id="1" xr3:uid="{6F0B109F-1C74-4A88-A520-BC6695CAB218}" name="Entertainment" totalsRowLabel="Total" totalsRowDxfId="391"/>
    <tableColumn id="2" xr3:uid="{C224E596-ACD9-48F0-98A9-0BEB5935C89D}" name="Budgeted_x000a_cost" totalsRowFunction="sum" totalsRowDxfId="390"/>
    <tableColumn id="3" xr3:uid="{BB59F5A1-0B88-48E4-AFD3-E41AAB523209}" name="Actual_x000a_cost" totalsRowFunction="sum" totalsRowDxfId="389"/>
    <tableColumn id="5" xr3:uid="{6E731E8D-B92C-4FF8-B09F-6A99FA7487A6}" name="Date due" dataDxfId="387" totalsRowDxfId="388" dataCellStyle="Amounts"/>
    <tableColumn id="4" xr3:uid="{D1402E5C-18EA-4D0A-99E2-E9EB3509538D}" name="Difference" totalsRowFunction="sum" totalsRowDxfId="386">
      <calculatedColumnFormula>Entertainment95108121134147160173186[[#This Row],[Budgeted
cost]]-Entertainment95108121134147160173186[[#This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268B56FA-9F93-4B66-8E2E-368D8774A3EB}" name="PersonalCare96109122135148161174187" displayName="PersonalCare96109122135148161174187" ref="H15:L24" totalsRowCount="1" headerRowBorderDxfId="385">
  <autoFilter ref="H15:L23" xr:uid="{00000000-000C-0000-FFFF-FFFF06000000}"/>
  <tableColumns count="5">
    <tableColumn id="1" xr3:uid="{59D4BD1D-FC48-4D24-AAF3-332E7385A2B8}" name="Personal care" totalsRowLabel="Total" totalsRowDxfId="384"/>
    <tableColumn id="2" xr3:uid="{DD334481-BAE7-4C34-8992-0616E72BF982}" name="Budgeted_x000a_cost" totalsRowFunction="sum" totalsRowDxfId="383"/>
    <tableColumn id="3" xr3:uid="{EE40040B-0098-42C1-B8C8-950B5132C05F}" name="Actual_x000a_cost" totalsRowFunction="sum" totalsRowDxfId="382"/>
    <tableColumn id="5" xr3:uid="{90AF1281-9C05-4F25-9B2F-FEE8067EBF0A}" name="Date due" dataDxfId="380" totalsRowDxfId="381" dataCellStyle="Amounts"/>
    <tableColumn id="4" xr3:uid="{A2F77FC3-C717-467E-A6C1-0D46100B4392}" name="Difference" totalsRowFunction="sum" totalsRowDxfId="379">
      <calculatedColumnFormula>PersonalCare96109122135148161174187[[#This Row],[Budgeted
cost]]-PersonalCare96109122135148161174187[[#This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F94F55F3-66AF-4852-9952-9E69789B288C}" name="Pets97110123136149162175188" displayName="Pets97110123136149162175188" ref="H27:L33" totalsRowCount="1" headerRowBorderDxfId="378">
  <autoFilter ref="H27:L32" xr:uid="{00000000-000C-0000-FFFF-FFFF05000000}"/>
  <tableColumns count="5">
    <tableColumn id="1" xr3:uid="{578CF1C6-B47E-4B4D-B29E-1A99ADBF3161}" name="Pets" totalsRowLabel="Total" totalsRowDxfId="377"/>
    <tableColumn id="2" xr3:uid="{3A5248F0-0305-4579-A349-E3D61B4F5DF3}" name="Budgeted_x000a_cost" totalsRowFunction="sum" totalsRowDxfId="376"/>
    <tableColumn id="3" xr3:uid="{7061DAB2-CF35-4D66-862E-FB6D33D622AD}" name="Actual_x000a_cost" totalsRowFunction="sum" totalsRowDxfId="375"/>
    <tableColumn id="5" xr3:uid="{2467DFD4-052F-4D67-AE10-56048C26DF5F}" name="Date due" dataDxfId="373" totalsRowDxfId="374" dataCellStyle="Amounts"/>
    <tableColumn id="4" xr3:uid="{C6BFFD0B-31AD-4D86-8ADD-B9D173F5A5EB}" name="Difference" totalsRowFunction="sum" totalsRowDxfId="372">
      <calculatedColumnFormula>Pets97110123136149162175188[[#This Row],[Budgeted
cost]]-Pets97110123136149162175188[[#This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D87D19F5-41B8-48C1-9544-E57D83C3B87F}" name="Children98111124137150163176189" displayName="Children98111124137150163176189" ref="B43:F54" totalsRowCount="1" headerRowBorderDxfId="371">
  <autoFilter ref="B43:F53" xr:uid="{00000000-000C-0000-FFFF-FFFF04000000}"/>
  <tableColumns count="5">
    <tableColumn id="1" xr3:uid="{2372D8D9-68EA-4B3C-8BB1-AFDE1EBC4011}" name="Children" totalsRowLabel="Total" totalsRowDxfId="370"/>
    <tableColumn id="2" xr3:uid="{C4B2B428-4B61-4FBB-89C4-0639CE2A2CF0}" name="Budgeted_x000a_cost" totalsRowFunction="sum" totalsRowDxfId="369"/>
    <tableColumn id="3" xr3:uid="{E5319ADF-0672-4A3F-868E-85A9864B2B37}" name="Actual_x000a_cost" totalsRowFunction="sum" totalsRowDxfId="368"/>
    <tableColumn id="5" xr3:uid="{FD78AA6B-66BB-4704-AB81-5A18544BD231}" name="Date due" dataDxfId="366" totalsRowDxfId="367" dataCellStyle="Amounts"/>
    <tableColumn id="4" xr3:uid="{3F9C7F64-5557-4D2F-8896-D83246DFCDA8}" name="Difference" totalsRowFunction="sum" totalsRowDxfId="365">
      <calculatedColumnFormula>Children98111124137150163176189[[#This Row],[Budgeted
cost]]-Children98111124137150163176189[[#This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7E27CCFE-7959-4D11-B194-53526C32667F}" name="Food99112125138151164177190" displayName="Food99112125138151164177190" ref="B35:F41" totalsRowCount="1" headerRowBorderDxfId="364">
  <autoFilter ref="B35:F40" xr:uid="{00000000-000C-0000-FFFF-FFFF03000000}"/>
  <tableColumns count="5">
    <tableColumn id="1" xr3:uid="{F00FB926-BBEA-4324-BFD3-7E251EF0EED8}" name="Food" totalsRowLabel="Total" totalsRowDxfId="363"/>
    <tableColumn id="2" xr3:uid="{6DEA1B81-9F4B-48AE-A850-5B9D09151B90}" name="Budgeted_x000a_cost" totalsRowFunction="sum" totalsRowDxfId="362"/>
    <tableColumn id="3" xr3:uid="{8683CC84-2D59-4A6C-8D34-540EF6F37ACF}" name="Actual_x000a_cost" totalsRowFunction="sum" totalsRowDxfId="361"/>
    <tableColumn id="6" xr3:uid="{3E22C203-AD95-4A73-BC3F-DDE4FA922531}" name="Date due" dataDxfId="359" totalsRowDxfId="360" dataCellStyle="Amounts"/>
    <tableColumn id="4" xr3:uid="{70B82DED-FC12-4D6E-B023-5DA513819F40}" name="Difference" totalsRowFunction="sum" totalsRowDxfId="358">
      <calculatedColumnFormula>Food99112125138151164177190[[#This Row],[Budgeted
cost]]-Food99112125138151164177190[[#This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501F22EF-857A-4537-8341-0BBA83051913}" name="Insurance100113126139152165178191" displayName="Insurance100113126139152165178191" ref="B27:F33" totalsRowCount="1" headerRowBorderDxfId="357">
  <autoFilter ref="B27:F32" xr:uid="{00000000-000C-0000-FFFF-FFFF02000000}"/>
  <tableColumns count="5">
    <tableColumn id="1" xr3:uid="{F9FD635F-9A1C-4F21-8E85-B4EFD7F2F19D}" name="Insurance" totalsRowLabel="Total" totalsRowDxfId="356"/>
    <tableColumn id="2" xr3:uid="{39FBE9E1-7D56-46BD-88E8-E2F549AD3015}" name="Budgeted_x000a_cost" totalsRowFunction="sum" totalsRowDxfId="355"/>
    <tableColumn id="3" xr3:uid="{117DBFE9-54CB-4641-8DCD-0033AD307F98}" name="Actual_x000a_cost" totalsRowFunction="sum" totalsRowDxfId="354"/>
    <tableColumn id="5" xr3:uid="{9475BB05-9E5D-484E-9932-0EA4396CB14A}" name="Date due" dataDxfId="352" totalsRowDxfId="353" dataCellStyle="Amounts"/>
    <tableColumn id="4" xr3:uid="{051B63D7-B8B2-48AE-B15D-11FCDEB199CF}" name="Difference" totalsRowFunction="sum" totalsRowDxfId="351">
      <calculatedColumnFormula>Insurance100113126139152165178191[[#This Row],[Budgeted
cost]]-Insurance100113126139152165178191[[#This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A7620155-176E-46DD-A785-2EDC3B16541D}" name="Transportation101114127140153166179192" displayName="Transportation101114127140153166179192" ref="B15:F25" totalsRowCount="1" headerRowBorderDxfId="350">
  <autoFilter ref="B15:F24" xr:uid="{00000000-000C-0000-FFFF-FFFF01000000}"/>
  <tableColumns count="5">
    <tableColumn id="1" xr3:uid="{EC1613B2-D7E6-4B93-9C8F-A84B5CFDB42D}" name="Transportation" totalsRowLabel="Total" totalsRowDxfId="349"/>
    <tableColumn id="2" xr3:uid="{D9B5DE13-1C39-4DFB-9C0C-CDB1DC051F1B}" name="Budgeted_x000a_cost" totalsRowFunction="sum" totalsRowDxfId="348"/>
    <tableColumn id="3" xr3:uid="{C7391CF8-54C1-460D-97FD-C9A7E796502D}" name="Actual_x000a_cost" totalsRowFunction="sum" totalsRowDxfId="347"/>
    <tableColumn id="6" xr3:uid="{81A2237D-65C5-4D04-857D-D30372AE5D98}" name="Date due" dataDxfId="345" totalsRowDxfId="346" dataCellStyle="Amounts"/>
    <tableColumn id="4" xr3:uid="{D9CEB2A7-D44B-4294-882D-8BCDC0A76C96}" name="Difference" totalsRowFunction="sum" totalsRowDxfId="344">
      <calculatedColumnFormula>Transportation101114127140153166179192[[#This Row],[Budgeted
cost]]-Transportation101114127140153166179192[[#This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51346862-ADF9-4100-AF7D-86872EBEEF4C}" name="Housing102115128141154167180193" displayName="Housing102115128141154167180193" ref="B2:F13" totalsRowCount="1" headerRowDxfId="343" dataDxfId="342" totalsRowDxfId="341" headerRowBorderDxfId="339" tableBorderDxfId="340" dataCellStyle="Amounts">
  <autoFilter ref="B2:F12" xr:uid="{00000000-000C-0000-FFFF-FFFF00000000}"/>
  <tableColumns count="5">
    <tableColumn id="1" xr3:uid="{1CCC44E0-91EC-41E5-88F4-1AF573F9FFD3}" name="Housing" totalsRowLabel="Total" dataDxfId="337" totalsRowDxfId="338"/>
    <tableColumn id="2" xr3:uid="{18098D26-44AC-4C7D-91E7-9DFBFCB7093D}" name="Budgeted_x000a_cost" totalsRowFunction="sum" dataDxfId="335" totalsRowDxfId="336" dataCellStyle="Amounts"/>
    <tableColumn id="3" xr3:uid="{0B3C6B4E-3D8C-4ABC-813B-1878496569C1}" name="Actual_x000a_cost" totalsRowFunction="sum" dataDxfId="333" totalsRowDxfId="334" dataCellStyle="Amounts"/>
    <tableColumn id="5" xr3:uid="{B9D68BC3-C95A-4AF9-9B3B-5726AD8A8925}" name="Date due" dataDxfId="332" dataCellStyle="Amounts"/>
    <tableColumn id="4" xr3:uid="{4282A340-6CC1-454D-AB62-2B781A787F58}" name="Difference" totalsRowFunction="sum" dataDxfId="330" totalsRowDxfId="331" dataCellStyle="Amounts">
      <calculatedColumnFormula>Housing102115128141154167180193[[#This Row],[Budgeted
cost]]-Housing102115128141154167180193[[#This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803D6F3E-BCAE-42BC-A22A-7F6EE9E20B70}" name="Summary7980818283848586" displayName="Summary7980818283848586" ref="B2:E3" totalsRowShown="0" headerRowDxfId="326" dataDxfId="325" tableBorderDxfId="324" headerRowCellStyle="Heading 1">
  <autoFilter ref="B2:E3" xr:uid="{00000000-0009-0000-0100-00000E000000}">
    <filterColumn colId="0" hiddenButton="1"/>
    <filterColumn colId="1" hiddenButton="1"/>
    <filterColumn colId="2" hiddenButton="1"/>
    <filterColumn colId="3" hiddenButton="1"/>
  </autoFilter>
  <tableColumns count="4">
    <tableColumn id="1" xr3:uid="{9F2AE1E0-DA1E-4532-82EE-C4697179016D}" name="Summary " dataDxfId="323" dataCellStyle="Bottom border"/>
    <tableColumn id="2" xr3:uid="{B337C67B-2301-4CC7-B525-051800A7B4E7}" name="Total_x000a_budgeted cost" dataDxfId="322" dataCellStyle="Bottom border">
      <calculatedColumnFormula>C19</calculatedColumnFormula>
    </tableColumn>
    <tableColumn id="3" xr3:uid="{793CD64E-3430-499F-82D7-23719B8D5EFE}" name="Total_x000a_actual cost" dataDxfId="321" dataCellStyle="Bottom border">
      <calculatedColumnFormula>D19</calculatedColumnFormula>
    </tableColumn>
    <tableColumn id="4" xr3:uid="{9BD3C572-7C35-4A1C-AB8F-E0E7F2EAA0EC}" name="Total_x000a_difference" dataDxfId="320" dataCellStyle="Bottom border">
      <calculatedColumnFormula>SUM(C3-D3)</calculatedColumnFormula>
    </tableColumn>
  </tableColumns>
  <tableStyleInfo name="ActualMonthlyIncome" showFirstColumn="0" showLastColumn="0" showRowStripes="1" showColumnStripes="0"/>
  <extLst>
    <ext xmlns:x14="http://schemas.microsoft.com/office/spreadsheetml/2009/9/main" uri="{504A1905-F514-4f6f-8877-14C23A59335A}">
      <x14:table altTextSummary="Total Projected and Actual Costs, and Total Difference are auto calculated in this summary table"/>
    </ext>
  </extLst>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3" xr:uid="{742BFD88-C0E8-4123-AE24-EFB1C8FC439F}" name="Legal90103116129142155168181194" displayName="Legal90103116129142155168181194" ref="B56:F62" totalsRowCount="1" headerRowBorderDxfId="317">
  <autoFilter ref="B56:F61" xr:uid="{00000000-000C-0000-FFFF-FFFF0C000000}"/>
  <tableColumns count="5">
    <tableColumn id="1" xr3:uid="{E7E26E0B-DEC3-4913-8D97-F2885DC60174}" name="Legal" totalsRowLabel="Total" totalsRowDxfId="316"/>
    <tableColumn id="2" xr3:uid="{24B47811-DF0F-4231-BC30-3D95792598BF}" name="Budgeted_x000a_cost" totalsRowFunction="sum" totalsRowDxfId="315"/>
    <tableColumn id="3" xr3:uid="{1DF496C8-3468-4C7E-890B-3BC022268274}" name="Actual_x000a_cost" totalsRowFunction="sum" totalsRowDxfId="314"/>
    <tableColumn id="5" xr3:uid="{897C73AF-83B3-4A78-A0FB-F8A716E83105}" name="Date due" dataDxfId="312" totalsRowDxfId="313" dataCellStyle="Amounts"/>
    <tableColumn id="4" xr3:uid="{656FD9E9-E0BE-4334-ACF6-A6439B51E197}" name="Difference" totalsRowFunction="sum" totalsRowDxfId="311">
      <calculatedColumnFormula>Legal90103116129142155168181194[[#This Row],[Budgeted
cost]]-Legal90103116129142155168181194[[#This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nsurance" displayName="Insurance" ref="B27:F33" totalsRowCount="1" headerRowBorderDxfId="1237">
  <autoFilter ref="B27:F32" xr:uid="{00000000-000C-0000-FFFF-FFFF02000000}"/>
  <tableColumns count="5">
    <tableColumn id="1" xr3:uid="{00000000-0010-0000-0200-000001000000}" name="Insurance" totalsRowLabel="Total" totalsRowDxfId="1236"/>
    <tableColumn id="2" xr3:uid="{00000000-0010-0000-0200-000002000000}" name="Budgeted_x000a_cost" totalsRowFunction="sum" totalsRowDxfId="1235"/>
    <tableColumn id="3" xr3:uid="{00000000-0010-0000-0200-000003000000}" name="Actual_x000a_cost" totalsRowFunction="sum" totalsRowDxfId="1234"/>
    <tableColumn id="5" xr3:uid="{D87AD9FC-1486-4CA1-A5FF-6B424570EA79}" name="Date due" dataDxfId="1232" totalsRowDxfId="1233" dataCellStyle="Amounts"/>
    <tableColumn id="4" xr3:uid="{00000000-0010-0000-0200-000004000000}" name="Difference" totalsRowFunction="sum" totalsRowDxfId="1231">
      <calculatedColumnFormula>Insurance[[#This Row],[Budgeted
cost]]-Insurance[[#This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4" xr:uid="{3CCC026D-A002-4D4A-A2B6-47949A65B9DD}" name="Gifts91104117130143156169182195" displayName="Gifts91104117130143156169182195" ref="H56:L60" totalsRowCount="1" headerRowBorderDxfId="310">
  <autoFilter ref="H56:L59" xr:uid="{00000000-000C-0000-FFFF-FFFF0B000000}"/>
  <tableColumns count="5">
    <tableColumn id="1" xr3:uid="{91934FE7-49C1-46D8-BDB5-089D693CE9E1}" name="Gifts and donations" totalsRowLabel="Total" totalsRowDxfId="309"/>
    <tableColumn id="2" xr3:uid="{ACD3F68A-ADFA-4C51-AF39-5820F3845CF6}" name="Budgeted_x000a_cost" totalsRowFunction="sum" totalsRowDxfId="308"/>
    <tableColumn id="3" xr3:uid="{3098705B-17C5-43C6-87A8-3141EF6F47D4}" name="Actual_x000a_cost" totalsRowFunction="sum" totalsRowDxfId="307"/>
    <tableColumn id="5" xr3:uid="{2871F683-D01B-4B5F-B900-5BE7DABEB768}" name="Date due" dataDxfId="305" totalsRowDxfId="306" dataCellStyle="Amounts"/>
    <tableColumn id="4" xr3:uid="{19DE64A2-0A14-44FA-9649-B37B47751500}" name="Difference" totalsRowFunction="sum" totalsRowDxfId="304">
      <calculatedColumnFormula>Gifts91104117130143156169182195[[#This Row],[Budgeted
cost]]-Gifts91104117130143156169182195[[#This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5" xr:uid="{B95F433A-8FC1-401C-A655-08E1780834AE}" name="Savings92105118131144157170183196" displayName="Savings92105118131144157170183196" ref="H2:L10" totalsRowCount="1" headerRowBorderDxfId="303">
  <autoFilter ref="H2:L9" xr:uid="{00000000-000C-0000-FFFF-FFFF0A000000}"/>
  <tableColumns count="5">
    <tableColumn id="1" xr3:uid="{1F443432-66BB-4C4D-8C40-BD86CA7058E8}" name="Savings/investments" totalsRowLabel="Total" totalsRowDxfId="302"/>
    <tableColumn id="2" xr3:uid="{F1A70274-F122-40B5-8DB0-6B53A55AD798}" name="Budgeted_x000a_cost" totalsRowFunction="sum" totalsRowDxfId="301"/>
    <tableColumn id="3" xr3:uid="{9FFBE168-FADA-4356-967E-4AE8D735C129}" name="Actual_x000a_cost" totalsRowFunction="sum" totalsRowDxfId="300"/>
    <tableColumn id="5" xr3:uid="{6B8460A0-EA69-4AF5-9C8B-57545C58BEB5}" name="Date due" dataDxfId="298" totalsRowDxfId="299" dataCellStyle="Amounts"/>
    <tableColumn id="4" xr3:uid="{08F4FE92-AB9B-4AF8-B8A9-1CCE1DEA0512}" name="Difference" totalsRowFunction="sum" totalsRowDxfId="297">
      <calculatedColumnFormula>Savings92105118131144157170183196[[#This Row],[Budgeted
cost]]-Savings92105118131144157170183196[[#This Row],[Actual
cost]]</calculatedColumnFormula>
    </tableColumn>
  </tableColumns>
  <tableStyleInfo name="Monthly Family Budget" showFirstColumn="1"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6" xr:uid="{8125160D-075F-4508-B1B1-B897460DF43D}" name="Taxes93106119132145158171184197" displayName="Taxes93106119132145158171184197" ref="H35:L40" totalsRowCount="1" headerRowBorderDxfId="296">
  <autoFilter ref="H35:L39" xr:uid="{00000000-000C-0000-FFFF-FFFF09000000}"/>
  <tableColumns count="5">
    <tableColumn id="1" xr3:uid="{FB36D92E-062E-46FB-937D-DCBC65B8C65E}" name="Taxes" totalsRowLabel="Total" totalsRowDxfId="295"/>
    <tableColumn id="2" xr3:uid="{C2F21748-E654-4AEF-AF65-467A7E66BA19}" name="Budgeted _x000a_cost" totalsRowFunction="sum" totalsRowDxfId="294"/>
    <tableColumn id="3" xr3:uid="{8FCC3BE0-0ED5-49E3-9D42-209E2850170A}" name="Actual _x000a_cost" totalsRowFunction="sum" totalsRowDxfId="293"/>
    <tableColumn id="5" xr3:uid="{802274FC-BF32-43C2-BE5A-2235BEB40A7A}" name="Date due" dataDxfId="291" totalsRowDxfId="292" dataCellStyle="Amounts"/>
    <tableColumn id="4" xr3:uid="{ACB01390-6F38-4AF7-A712-580215836732}" name="Difference" totalsRowFunction="sum" totalsRowDxfId="290">
      <calculatedColumnFormula>Taxes93106119132145158171184197[[#This Row],[Budgeted 
cost]]-Taxes93106119132145158171184197[[#This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7" xr:uid="{B64AD8F6-F211-4538-B8D6-D45E0ED366A0}" name="Loans94107120133146159172185198" displayName="Loans94107120133146159172185198" ref="H43:L51" totalsRowCount="1" headerRowBorderDxfId="289">
  <autoFilter ref="H43:L50" xr:uid="{00000000-000C-0000-FFFF-FFFF08000000}"/>
  <tableColumns count="5">
    <tableColumn id="1" xr3:uid="{B1397D7C-57EB-4F2D-97CA-14CC94976694}" name="Loans" totalsRowLabel="Total" totalsRowDxfId="288"/>
    <tableColumn id="2" xr3:uid="{138F4514-83A0-46C0-926C-B453ADDAF0B1}" name="Budgeted_x000a_cost" totalsRowFunction="sum" totalsRowDxfId="287"/>
    <tableColumn id="3" xr3:uid="{BE777138-EF36-4BA4-94DE-9237E390887F}" name="Actual_x000a_cost" totalsRowFunction="sum" totalsRowDxfId="286"/>
    <tableColumn id="5" xr3:uid="{8373E9CE-FC8F-4F8B-A32B-8D825A2CB2B3}" name="Date due" dataDxfId="284" totalsRowDxfId="285" dataCellStyle="Amounts"/>
    <tableColumn id="4" xr3:uid="{4ED2459D-FB61-4236-A70A-FFAA925D76CA}" name="Difference" totalsRowFunction="sum" totalsRowDxfId="283">
      <calculatedColumnFormula>Loans94107120133146159172185198[[#This Row],[Budgeted
cost]]-Loans94107120133146159172185198[[#This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8" xr:uid="{47D525AB-DF12-45DC-BBC5-395FCCF5BBA5}" name="Entertainment95108121134147160173186199" displayName="Entertainment95108121134147160173186199" ref="B64:F72" totalsRowCount="1" headerRowBorderDxfId="282">
  <autoFilter ref="B64:F71" xr:uid="{00000000-000C-0000-FFFF-FFFF07000000}"/>
  <tableColumns count="5">
    <tableColumn id="1" xr3:uid="{1A0FE86E-B235-4B25-8664-CFAA8809D949}" name="Entertainment" totalsRowLabel="Total" totalsRowDxfId="281"/>
    <tableColumn id="2" xr3:uid="{98B26424-D814-424D-AB97-71A938F28F0A}" name="Budgeted_x000a_cost" totalsRowFunction="sum" totalsRowDxfId="280"/>
    <tableColumn id="3" xr3:uid="{170FC855-EF17-48B1-80B9-F5B87B56CA6A}" name="Actual_x000a_cost" totalsRowFunction="sum" totalsRowDxfId="279"/>
    <tableColumn id="5" xr3:uid="{2E44467A-536A-4C08-B94B-4EE438FE3836}" name="Date due" dataDxfId="277" totalsRowDxfId="278" dataCellStyle="Amounts"/>
    <tableColumn id="4" xr3:uid="{98CE39E9-11D1-46C1-91C6-5279049E5A48}" name="Difference" totalsRowFunction="sum" totalsRowDxfId="276">
      <calculatedColumnFormula>Entertainment95108121134147160173186199[[#This Row],[Budgeted
cost]]-Entertainment95108121134147160173186199[[#This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 xr:uid="{4406EC2A-34B0-42A7-BB94-67BDB90AC62D}" name="PersonalCare96109122135148161174187200" displayName="PersonalCare96109122135148161174187200" ref="H15:L24" totalsRowCount="1" headerRowBorderDxfId="275">
  <autoFilter ref="H15:L23" xr:uid="{00000000-000C-0000-FFFF-FFFF06000000}"/>
  <tableColumns count="5">
    <tableColumn id="1" xr3:uid="{7E6D9F49-D967-42B7-B633-423433EAED42}" name="Personal care" totalsRowLabel="Total" totalsRowDxfId="274"/>
    <tableColumn id="2" xr3:uid="{6BAA3F1C-F827-428B-AFD3-85AD0DD79557}" name="Budgeted_x000a_cost" totalsRowFunction="sum" totalsRowDxfId="273"/>
    <tableColumn id="3" xr3:uid="{45835D4E-BD13-48E7-9FA7-3081C68C0895}" name="Actual_x000a_cost" totalsRowFunction="sum" totalsRowDxfId="272"/>
    <tableColumn id="5" xr3:uid="{0D7BC751-7349-4671-BB5D-A63EB99665C0}" name="Date due" dataDxfId="270" totalsRowDxfId="271" dataCellStyle="Amounts"/>
    <tableColumn id="4" xr3:uid="{227D3193-AB9B-43B2-962F-585F21A31F72}" name="Difference" totalsRowFunction="sum" totalsRowDxfId="269">
      <calculatedColumnFormula>PersonalCare96109122135148161174187200[[#This Row],[Budgeted
cost]]-PersonalCare96109122135148161174187200[[#This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0" xr:uid="{03CBBF05-D5EE-4514-B6EC-4BBD83E39045}" name="Pets97110123136149162175188201" displayName="Pets97110123136149162175188201" ref="H27:L33" totalsRowCount="1" headerRowBorderDxfId="268">
  <autoFilter ref="H27:L32" xr:uid="{00000000-000C-0000-FFFF-FFFF05000000}"/>
  <tableColumns count="5">
    <tableColumn id="1" xr3:uid="{EAEECA9A-2585-49CA-B511-C748319BC3D2}" name="Pets" totalsRowLabel="Total" totalsRowDxfId="267"/>
    <tableColumn id="2" xr3:uid="{EBBA9393-F62E-4F8E-9702-41FFB04C0CF2}" name="Budgeted_x000a_cost" totalsRowFunction="sum" totalsRowDxfId="266"/>
    <tableColumn id="3" xr3:uid="{36497381-47DB-4DC6-9BF0-FBB86078335D}" name="Actual_x000a_cost" totalsRowFunction="sum" totalsRowDxfId="265"/>
    <tableColumn id="5" xr3:uid="{9EFB6973-1517-4E73-9F8E-F83F035D25D8}" name="Date due" dataDxfId="263" totalsRowDxfId="264" dataCellStyle="Amounts"/>
    <tableColumn id="4" xr3:uid="{D38303DE-2E49-4E1B-8A16-820C1C5071AD}" name="Difference" totalsRowFunction="sum" totalsRowDxfId="262">
      <calculatedColumnFormula>Pets97110123136149162175188201[[#This Row],[Budgeted
cost]]-Pets97110123136149162175188201[[#This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1" xr:uid="{C7CF652D-E779-45A7-8DF8-F410FAD235FF}" name="Children98111124137150163176189202" displayName="Children98111124137150163176189202" ref="B43:F54" totalsRowCount="1" headerRowBorderDxfId="261">
  <autoFilter ref="B43:F53" xr:uid="{00000000-000C-0000-FFFF-FFFF04000000}"/>
  <tableColumns count="5">
    <tableColumn id="1" xr3:uid="{DCBB0540-957E-4977-8BE7-944EC6C643B3}" name="Children" totalsRowLabel="Total" totalsRowDxfId="260"/>
    <tableColumn id="2" xr3:uid="{81E6EE93-C8BA-4853-88EF-E00B9E43D6F2}" name="Budgeted_x000a_cost" totalsRowFunction="sum" totalsRowDxfId="259"/>
    <tableColumn id="3" xr3:uid="{6004398B-9F7F-49C7-B185-ADBCF0BE5460}" name="Actual_x000a_cost" totalsRowFunction="sum" totalsRowDxfId="258"/>
    <tableColumn id="5" xr3:uid="{241674F1-D3E6-4AB4-B8D6-4CAE0026D83A}" name="Date due" dataDxfId="256" totalsRowDxfId="257" dataCellStyle="Amounts"/>
    <tableColumn id="4" xr3:uid="{19C3763A-9E98-417C-80EE-4AF3B6DA639D}" name="Difference" totalsRowFunction="sum" totalsRowDxfId="255">
      <calculatedColumnFormula>Children98111124137150163176189202[[#This Row],[Budgeted
cost]]-Children98111124137150163176189202[[#This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 xr:uid="{782D8831-2C31-48D5-BB24-AE789FAA8E01}" name="Food99112125138151164177190203" displayName="Food99112125138151164177190203" ref="B35:F41" totalsRowCount="1" headerRowBorderDxfId="254">
  <autoFilter ref="B35:F40" xr:uid="{00000000-000C-0000-FFFF-FFFF03000000}"/>
  <tableColumns count="5">
    <tableColumn id="1" xr3:uid="{82C318DC-A73B-437A-9A8B-1218E617BB8C}" name="Food" totalsRowLabel="Total" totalsRowDxfId="253"/>
    <tableColumn id="2" xr3:uid="{E51F8DB9-D542-45EF-892D-B105E2D9AD16}" name="Budgeted_x000a_cost" totalsRowFunction="sum" totalsRowDxfId="252"/>
    <tableColumn id="3" xr3:uid="{434A76E4-97F8-4C98-B488-9BD725E9B6A8}" name="Actual_x000a_cost" totalsRowFunction="sum" totalsRowDxfId="251"/>
    <tableColumn id="6" xr3:uid="{2B13FA50-3BE6-4A31-AE15-FF30ABE10FDB}" name="Date due" dataDxfId="249" totalsRowDxfId="250" dataCellStyle="Amounts"/>
    <tableColumn id="4" xr3:uid="{F27FDF6A-F9D2-4816-BF82-B7DEAF108671}" name="Difference" totalsRowFunction="sum" totalsRowDxfId="248">
      <calculatedColumnFormula>Food99112125138151164177190203[[#This Row],[Budgeted
cost]]-Food99112125138151164177190203[[#This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3" xr:uid="{E93CCF53-7456-45B3-B799-0776982AC3DC}" name="Insurance100113126139152165178191204" displayName="Insurance100113126139152165178191204" ref="B27:F33" totalsRowCount="1" headerRowBorderDxfId="247">
  <autoFilter ref="B27:F32" xr:uid="{00000000-000C-0000-FFFF-FFFF02000000}"/>
  <tableColumns count="5">
    <tableColumn id="1" xr3:uid="{90C0D861-F326-4EC2-8002-3D44058351FF}" name="Insurance" totalsRowLabel="Total" totalsRowDxfId="246"/>
    <tableColumn id="2" xr3:uid="{1B41716E-2908-4314-98B8-3C8F6AAA5019}" name="Budgeted_x000a_cost" totalsRowFunction="sum" totalsRowDxfId="245"/>
    <tableColumn id="3" xr3:uid="{FFDAF764-007B-4359-8AE7-BEEE423B96AA}" name="Actual_x000a_cost" totalsRowFunction="sum" totalsRowDxfId="244"/>
    <tableColumn id="5" xr3:uid="{38A3CBCD-A26E-41C2-A007-6E0C1D0A36CA}" name="Date due" dataDxfId="242" totalsRowDxfId="243" dataCellStyle="Amounts"/>
    <tableColumn id="4" xr3:uid="{6A88C835-44C6-432E-AEF7-7071CC6037E0}" name="Difference" totalsRowFunction="sum" totalsRowDxfId="241">
      <calculatedColumnFormula>Insurance100113126139152165178191204[[#This Row],[Budgeted
cost]]-Insurance100113126139152165178191204[[#This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ransportation" displayName="Transportation" ref="B15:F25" totalsRowCount="1" headerRowBorderDxfId="1230">
  <autoFilter ref="B15:F24" xr:uid="{00000000-000C-0000-FFFF-FFFF01000000}"/>
  <tableColumns count="5">
    <tableColumn id="1" xr3:uid="{00000000-0010-0000-0100-000001000000}" name="Transportation" totalsRowLabel="Total" totalsRowDxfId="1229"/>
    <tableColumn id="2" xr3:uid="{00000000-0010-0000-0100-000002000000}" name="Budgeted_x000a_cost" totalsRowFunction="sum" totalsRowDxfId="1228"/>
    <tableColumn id="3" xr3:uid="{00000000-0010-0000-0100-000003000000}" name="Actual_x000a_cost" totalsRowFunction="sum" totalsRowDxfId="1227"/>
    <tableColumn id="6" xr3:uid="{2FCAD463-F9CE-4156-A0CC-42077E0BCA3C}" name="Date due" dataDxfId="1225" totalsRowDxfId="1226" dataCellStyle="Amounts"/>
    <tableColumn id="4" xr3:uid="{00000000-0010-0000-0100-000004000000}" name="Difference" totalsRowFunction="sum" totalsRowDxfId="1224">
      <calculatedColumnFormula>Transportation[[#This Row],[Budgeted
cost]]-Transportation[[#This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4" xr:uid="{369EABD1-C986-4AF2-B1A3-2A3F95AEA3DB}" name="Transportation101114127140153166179192205" displayName="Transportation101114127140153166179192205" ref="B15:F25" totalsRowCount="1" headerRowBorderDxfId="240">
  <autoFilter ref="B15:F24" xr:uid="{00000000-000C-0000-FFFF-FFFF01000000}"/>
  <tableColumns count="5">
    <tableColumn id="1" xr3:uid="{77BD1309-95D8-434D-9AC1-CCB1943478A9}" name="Transportation" totalsRowLabel="Total" totalsRowDxfId="239"/>
    <tableColumn id="2" xr3:uid="{4966AC10-1CDE-4EDC-8FFB-234F21A077B9}" name="Budgeted_x000a_cost" totalsRowFunction="sum" totalsRowDxfId="238"/>
    <tableColumn id="3" xr3:uid="{9DC5026D-4172-4DF4-ADA4-481CEEB29161}" name="Actual_x000a_cost" totalsRowFunction="sum" totalsRowDxfId="237"/>
    <tableColumn id="6" xr3:uid="{E907ECE2-68A7-4479-B46D-48126EA66AE8}" name="Date due" dataDxfId="235" totalsRowDxfId="236" dataCellStyle="Amounts"/>
    <tableColumn id="4" xr3:uid="{E778F93A-E5E0-4B72-8620-D5C74FA3F494}" name="Difference" totalsRowFunction="sum" totalsRowDxfId="234">
      <calculatedColumnFormula>Transportation101114127140153166179192205[[#This Row],[Budgeted
cost]]-Transportation101114127140153166179192205[[#This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5" xr:uid="{5C8FD6C4-75D0-4BD7-B894-D96107D053CD}" name="Housing102115128141154167180193206" displayName="Housing102115128141154167180193206" ref="B2:F13" totalsRowCount="1" headerRowDxfId="233" dataDxfId="232" totalsRowDxfId="231" headerRowBorderDxfId="229" tableBorderDxfId="230" dataCellStyle="Amounts">
  <autoFilter ref="B2:F12" xr:uid="{00000000-000C-0000-FFFF-FFFF00000000}"/>
  <tableColumns count="5">
    <tableColumn id="1" xr3:uid="{384FDAC2-54A9-422D-9B84-2A07682FECE8}" name="Housing" totalsRowLabel="Total" dataDxfId="227" totalsRowDxfId="228"/>
    <tableColumn id="2" xr3:uid="{1DD3E370-56DD-4087-8A6D-C5BFBA17CD4B}" name="Budgeted_x000a_cost" totalsRowFunction="sum" dataDxfId="225" totalsRowDxfId="226" dataCellStyle="Amounts"/>
    <tableColumn id="3" xr3:uid="{DA987B7D-2383-4661-A8F6-D8A82CC8CC5A}" name="Actual_x000a_cost" totalsRowFunction="sum" dataDxfId="223" totalsRowDxfId="224" dataCellStyle="Amounts"/>
    <tableColumn id="5" xr3:uid="{87EFA13B-CB26-44B0-B468-5CA1D17A8EDE}" name="Date due" dataDxfId="222" dataCellStyle="Amounts"/>
    <tableColumn id="4" xr3:uid="{49040B0A-F488-4320-888D-3FAE8CFC476E}" name="Difference" totalsRowFunction="sum" dataDxfId="220" totalsRowDxfId="221" dataCellStyle="Amounts">
      <calculatedColumnFormula>Housing102115128141154167180193206[[#This Row],[Budgeted
cost]]-Housing102115128141154167180193206[[#This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BC84C208-F5EE-4710-A320-93F14118103C}" name="Summary798081828384858687" displayName="Summary798081828384858687" ref="B2:E3" totalsRowShown="0" headerRowDxfId="216" dataDxfId="215" tableBorderDxfId="214" headerRowCellStyle="Heading 1">
  <autoFilter ref="B2:E3" xr:uid="{00000000-0009-0000-0100-00000E000000}">
    <filterColumn colId="0" hiddenButton="1"/>
    <filterColumn colId="1" hiddenButton="1"/>
    <filterColumn colId="2" hiddenButton="1"/>
    <filterColumn colId="3" hiddenButton="1"/>
  </autoFilter>
  <tableColumns count="4">
    <tableColumn id="1" xr3:uid="{C4C20AC1-2FF4-4899-9534-890D9E062AB2}" name="Summary " dataDxfId="213" dataCellStyle="Bottom border"/>
    <tableColumn id="2" xr3:uid="{1FB977EC-7302-4698-B0EF-0F9EFC54A0C9}" name="Total_x000a_budgeted cost" dataDxfId="212" dataCellStyle="Bottom border">
      <calculatedColumnFormula>C19</calculatedColumnFormula>
    </tableColumn>
    <tableColumn id="3" xr3:uid="{B6402BBD-C990-4046-BFBC-190A0A7E31F9}" name="Total_x000a_actual cost" dataDxfId="211" dataCellStyle="Bottom border">
      <calculatedColumnFormula>D19</calculatedColumnFormula>
    </tableColumn>
    <tableColumn id="4" xr3:uid="{DA7CE16D-E1A2-4B51-8FD5-4B081B39793F}" name="Total_x000a_difference" dataDxfId="210" dataCellStyle="Bottom border">
      <calculatedColumnFormula>SUM(C3-D3)</calculatedColumnFormula>
    </tableColumn>
  </tableColumns>
  <tableStyleInfo name="ActualMonthlyIncome" showFirstColumn="0" showLastColumn="0" showRowStripes="1" showColumnStripes="0"/>
  <extLst>
    <ext xmlns:x14="http://schemas.microsoft.com/office/spreadsheetml/2009/9/main" uri="{504A1905-F514-4f6f-8877-14C23A59335A}">
      <x14:table altTextSummary="Total Projected and Actual Costs, and Total Difference are auto calculated in this summary table"/>
    </ext>
  </extLst>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6" xr:uid="{1DE4968B-99A8-4346-A603-657414E72A6E}" name="Legal90103116129142155168181194207" displayName="Legal90103116129142155168181194207" ref="B56:F62" totalsRowCount="1" headerRowBorderDxfId="207">
  <autoFilter ref="B56:F61" xr:uid="{00000000-000C-0000-FFFF-FFFF0C000000}"/>
  <tableColumns count="5">
    <tableColumn id="1" xr3:uid="{D32A3BED-1905-4C51-B444-89C419FB29E8}" name="Legal" totalsRowLabel="Total" totalsRowDxfId="206"/>
    <tableColumn id="2" xr3:uid="{2A427AF1-53BF-4092-9AEA-EE04FA7F8FEB}" name="Budgeted_x000a_cost" totalsRowFunction="sum" totalsRowDxfId="205"/>
    <tableColumn id="3" xr3:uid="{372FC267-323B-4AE2-98E8-4B4F0F2B1D9A}" name="Actual_x000a_cost" totalsRowFunction="sum" totalsRowDxfId="204"/>
    <tableColumn id="5" xr3:uid="{E3D3311A-985F-4630-B88C-8098E677DF5C}" name="Date due" dataDxfId="202" totalsRowDxfId="203" dataCellStyle="Amounts"/>
    <tableColumn id="4" xr3:uid="{C8C6F9D0-FF6C-4A8E-A780-FA4E3E5E771E}" name="Difference" totalsRowFunction="sum" totalsRowDxfId="201">
      <calculatedColumnFormula>Legal90103116129142155168181194207[[#This Row],[Budgeted
cost]]-Legal90103116129142155168181194207[[#This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7" xr:uid="{85A57789-C523-40EE-9957-249AFCEADDAD}" name="Gifts91104117130143156169182195208" displayName="Gifts91104117130143156169182195208" ref="H56:L60" totalsRowCount="1" headerRowBorderDxfId="200">
  <autoFilter ref="H56:L59" xr:uid="{00000000-000C-0000-FFFF-FFFF0B000000}"/>
  <tableColumns count="5">
    <tableColumn id="1" xr3:uid="{3BFB794F-EC31-479C-9AF4-979CA7869464}" name="Gifts and donations" totalsRowLabel="Total" totalsRowDxfId="199"/>
    <tableColumn id="2" xr3:uid="{549CF0EB-164C-47DF-9D92-CCDE62026680}" name="Budgeted_x000a_cost" totalsRowFunction="sum" totalsRowDxfId="198"/>
    <tableColumn id="3" xr3:uid="{710365F4-E0EA-45DF-A368-2DC6A4766658}" name="Actual_x000a_cost" totalsRowFunction="sum" totalsRowDxfId="197"/>
    <tableColumn id="5" xr3:uid="{8FD8A698-F8A9-4C1B-A524-CB67FC429B16}" name="Date due" dataDxfId="195" totalsRowDxfId="196" dataCellStyle="Amounts"/>
    <tableColumn id="4" xr3:uid="{99CC7C02-9B1D-45CD-B65D-34DECE141307}" name="Difference" totalsRowFunction="sum" totalsRowDxfId="194">
      <calculatedColumnFormula>Gifts91104117130143156169182195208[[#This Row],[Budgeted
cost]]-Gifts91104117130143156169182195208[[#This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8" xr:uid="{E2E08C18-E144-44CB-B4CE-8A671D3B905C}" name="Savings92105118131144157170183196209" displayName="Savings92105118131144157170183196209" ref="H2:L10" totalsRowCount="1" headerRowBorderDxfId="193">
  <autoFilter ref="H2:L9" xr:uid="{00000000-000C-0000-FFFF-FFFF0A000000}"/>
  <tableColumns count="5">
    <tableColumn id="1" xr3:uid="{940FCE2D-DE31-4D2F-903A-EC2ACB043E3B}" name="Savings/investments" totalsRowLabel="Total" totalsRowDxfId="192"/>
    <tableColumn id="2" xr3:uid="{D3E4EFF0-1843-4A8E-9416-7477169944AB}" name="Budgeted_x000a_cost" totalsRowFunction="sum" totalsRowDxfId="191"/>
    <tableColumn id="3" xr3:uid="{8AADB44A-9AD9-4491-AFE9-F30E032A3686}" name="Actual_x000a_cost" totalsRowFunction="sum" totalsRowDxfId="190"/>
    <tableColumn id="5" xr3:uid="{8D985AA0-18F2-4032-B038-DD8DBA57FA51}" name="Date due" dataDxfId="188" totalsRowDxfId="189" dataCellStyle="Amounts"/>
    <tableColumn id="4" xr3:uid="{48F29CDA-2477-44A1-90FB-7710BAAB1729}" name="Difference" totalsRowFunction="sum" totalsRowDxfId="187">
      <calculatedColumnFormula>Savings92105118131144157170183196209[[#This Row],[Budgeted
cost]]-Savings92105118131144157170183196209[[#This Row],[Actual
cost]]</calculatedColumnFormula>
    </tableColumn>
  </tableColumns>
  <tableStyleInfo name="Monthly Family Budget" showFirstColumn="1"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9" xr:uid="{D1C73E0F-6501-4ABD-8A63-56AFF99B50EF}" name="Taxes93106119132145158171184197210" displayName="Taxes93106119132145158171184197210" ref="H35:L40" totalsRowCount="1" headerRowBorderDxfId="186">
  <autoFilter ref="H35:L39" xr:uid="{00000000-000C-0000-FFFF-FFFF09000000}"/>
  <tableColumns count="5">
    <tableColumn id="1" xr3:uid="{C8A9171A-7057-4DF1-AF35-B6D31918400B}" name="Taxes" totalsRowLabel="Total" totalsRowDxfId="185"/>
    <tableColumn id="2" xr3:uid="{C2C4BDB1-6390-49FB-8F84-0AC7CE1DE50E}" name="Budgeted _x000a_cost" totalsRowFunction="sum" totalsRowDxfId="184"/>
    <tableColumn id="3" xr3:uid="{4A2F4497-68AA-49AB-8E7B-90E8A179E94D}" name="Actual _x000a_cost" totalsRowFunction="sum" totalsRowDxfId="183"/>
    <tableColumn id="5" xr3:uid="{7C89B40E-B19D-4AA4-A774-71A7A8DC3498}" name="Date due" dataDxfId="181" totalsRowDxfId="182" dataCellStyle="Amounts"/>
    <tableColumn id="4" xr3:uid="{5E917501-A1C7-48A4-BE5E-7C6D5476E2FF}" name="Difference" totalsRowFunction="sum" totalsRowDxfId="180">
      <calculatedColumnFormula>Taxes93106119132145158171184197210[[#This Row],[Budgeted 
cost]]-Taxes93106119132145158171184197210[[#This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0" xr:uid="{E3313931-7F72-4409-ACD4-6A7231C2E87B}" name="Loans94107120133146159172185198211" displayName="Loans94107120133146159172185198211" ref="H43:L51" totalsRowCount="1" headerRowBorderDxfId="179">
  <autoFilter ref="H43:L50" xr:uid="{00000000-000C-0000-FFFF-FFFF08000000}"/>
  <tableColumns count="5">
    <tableColumn id="1" xr3:uid="{9408A98C-55C1-456F-8DF1-1F9F44E34349}" name="Loans" totalsRowLabel="Total" totalsRowDxfId="178"/>
    <tableColumn id="2" xr3:uid="{5B881D69-2CCC-4BB6-B8B6-BC698B98E9FF}" name="Budgeted_x000a_cost" totalsRowFunction="sum" totalsRowDxfId="177"/>
    <tableColumn id="3" xr3:uid="{69409F13-09F2-450B-99AF-E5228E5738BD}" name="Actual_x000a_cost" totalsRowFunction="sum" totalsRowDxfId="176"/>
    <tableColumn id="5" xr3:uid="{8BA47BFF-3FCA-4B77-980B-0752D1674B4C}" name="Date due" dataDxfId="174" totalsRowDxfId="175" dataCellStyle="Amounts"/>
    <tableColumn id="4" xr3:uid="{270E1623-F65B-410C-8F3A-001590A4CCBC}" name="Difference" totalsRowFunction="sum" totalsRowDxfId="173">
      <calculatedColumnFormula>Loans94107120133146159172185198211[[#This Row],[Budgeted
cost]]-Loans94107120133146159172185198211[[#This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1" xr:uid="{8CC6F83E-4BD2-404D-9C41-1AEA8879A0F3}" name="Entertainment95108121134147160173186199212" displayName="Entertainment95108121134147160173186199212" ref="B64:F72" totalsRowCount="1" headerRowBorderDxfId="172">
  <autoFilter ref="B64:F71" xr:uid="{00000000-000C-0000-FFFF-FFFF07000000}"/>
  <tableColumns count="5">
    <tableColumn id="1" xr3:uid="{81F5F2ED-A1A2-4BB4-84CF-DCAD3C110495}" name="Entertainment" totalsRowLabel="Total" totalsRowDxfId="171"/>
    <tableColumn id="2" xr3:uid="{170D246C-0653-4292-9D10-CDFFA2C8A8D7}" name="Budgeted_x000a_cost" totalsRowFunction="sum" totalsRowDxfId="170"/>
    <tableColumn id="3" xr3:uid="{FF0A885E-0D3E-471A-B6F7-5A2F79970463}" name="Actual_x000a_cost" totalsRowFunction="sum" totalsRowDxfId="169"/>
    <tableColumn id="5" xr3:uid="{8C9A5E06-6886-4E37-8ECB-A372C44A18A7}" name="Date due" dataDxfId="167" totalsRowDxfId="168" dataCellStyle="Amounts"/>
    <tableColumn id="4" xr3:uid="{2152D014-88EC-44FE-872F-8DF179DA3F3E}" name="Difference" totalsRowFunction="sum" totalsRowDxfId="166">
      <calculatedColumnFormula>Entertainment95108121134147160173186199212[[#This Row],[Budgeted
cost]]-Entertainment95108121134147160173186199212[[#This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2" xr:uid="{BB286BD9-5B74-43B8-8208-42E2D7AA7AE2}" name="PersonalCare96109122135148161174187200213" displayName="PersonalCare96109122135148161174187200213" ref="H15:L24" totalsRowCount="1" headerRowBorderDxfId="165">
  <autoFilter ref="H15:L23" xr:uid="{00000000-000C-0000-FFFF-FFFF06000000}"/>
  <tableColumns count="5">
    <tableColumn id="1" xr3:uid="{4F4BDAA3-F5FF-4AA2-AF5E-AE1AF44FBE02}" name="Personal care" totalsRowLabel="Total" totalsRowDxfId="164"/>
    <tableColumn id="2" xr3:uid="{7E044361-F26F-4252-A601-8DAE5FEA886E}" name="Budgeted_x000a_cost" totalsRowFunction="sum" totalsRowDxfId="163"/>
    <tableColumn id="3" xr3:uid="{24CA99C5-7621-4233-B9F9-FD7E004EDD12}" name="Actual_x000a_cost" totalsRowFunction="sum" totalsRowDxfId="162"/>
    <tableColumn id="5" xr3:uid="{5B89B547-9960-40AB-A1B6-722EC75378AA}" name="Date due" dataDxfId="160" totalsRowDxfId="161" dataCellStyle="Amounts"/>
    <tableColumn id="4" xr3:uid="{23ADB9CE-69D7-481C-82C6-D31F285C683C}" name="Difference" totalsRowFunction="sum" totalsRowDxfId="159">
      <calculatedColumnFormula>PersonalCare96109122135148161174187200213[[#This Row],[Budgeted
cost]]-PersonalCare96109122135148161174187200213[[#This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ousing" displayName="Housing" ref="B2:F13" totalsRowCount="1" headerRowDxfId="1223" dataDxfId="1222" totalsRowDxfId="1221" headerRowBorderDxfId="1219" tableBorderDxfId="1220" dataCellStyle="Amounts">
  <autoFilter ref="B2:F12" xr:uid="{00000000-000C-0000-FFFF-FFFF00000000}"/>
  <tableColumns count="5">
    <tableColumn id="1" xr3:uid="{00000000-0010-0000-0000-000001000000}" name="Housing" totalsRowLabel="Total" dataDxfId="1217" totalsRowDxfId="1218"/>
    <tableColumn id="2" xr3:uid="{00000000-0010-0000-0000-000002000000}" name="Budgeted_x000a_cost" totalsRowFunction="sum" dataDxfId="1215" totalsRowDxfId="1216" dataCellStyle="Amounts"/>
    <tableColumn id="3" xr3:uid="{00000000-0010-0000-0000-000003000000}" name="Actual_x000a_cost" totalsRowFunction="sum" dataDxfId="1213" totalsRowDxfId="1214" dataCellStyle="Amounts"/>
    <tableColumn id="5" xr3:uid="{D3E19075-A2D3-4214-8ADE-A324D0E65F65}" name="Date due" dataDxfId="1212" dataCellStyle="Amounts"/>
    <tableColumn id="4" xr3:uid="{00000000-0010-0000-0000-000004000000}" name="Difference" totalsRowFunction="sum" dataDxfId="1210" totalsRowDxfId="1211" dataCellStyle="Amounts">
      <calculatedColumnFormula>Housing[[#This Row],[Budgeted
cost]]-Housing[[#This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 xr:uid="{DB5F23CE-DD39-4407-9E6A-FA8924C0BF59}" name="Pets97110123136149162175188201214" displayName="Pets97110123136149162175188201214" ref="H27:L33" totalsRowCount="1" headerRowBorderDxfId="158">
  <autoFilter ref="H27:L32" xr:uid="{00000000-000C-0000-FFFF-FFFF05000000}"/>
  <tableColumns count="5">
    <tableColumn id="1" xr3:uid="{E80CB78D-FE2F-4C60-B095-CA6C3AC3B8D3}" name="Pets" totalsRowLabel="Total" totalsRowDxfId="157"/>
    <tableColumn id="2" xr3:uid="{BC954662-2B05-4C45-9920-30090B9EC7EF}" name="Budgeted_x000a_cost" totalsRowFunction="sum" totalsRowDxfId="156"/>
    <tableColumn id="3" xr3:uid="{30778A14-20C9-42BB-AB43-B5C1AAA336A0}" name="Actual_x000a_cost" totalsRowFunction="sum" totalsRowDxfId="155"/>
    <tableColumn id="5" xr3:uid="{E6917B68-F31E-4A8A-A9AD-A83696EA5D10}" name="Date due" dataDxfId="153" totalsRowDxfId="154" dataCellStyle="Amounts"/>
    <tableColumn id="4" xr3:uid="{8FDF9D3A-4202-4ED1-B1DA-33B41A0D5BFE}" name="Difference" totalsRowFunction="sum" totalsRowDxfId="152">
      <calculatedColumnFormula>Pets97110123136149162175188201214[[#This Row],[Budgeted
cost]]-Pets97110123136149162175188201214[[#This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4" xr:uid="{036EAAFC-F3EC-4480-BD12-1D41C04125A7}" name="Children98111124137150163176189202215" displayName="Children98111124137150163176189202215" ref="B43:F54" totalsRowCount="1" headerRowBorderDxfId="151">
  <autoFilter ref="B43:F53" xr:uid="{00000000-000C-0000-FFFF-FFFF04000000}"/>
  <tableColumns count="5">
    <tableColumn id="1" xr3:uid="{A1572A26-79AE-4175-BBB0-74C50F8C8780}" name="Children" totalsRowLabel="Total" totalsRowDxfId="150"/>
    <tableColumn id="2" xr3:uid="{DC432992-D60B-4CB6-B9C2-5314786F3AC6}" name="Budgeted_x000a_cost" totalsRowFunction="sum" totalsRowDxfId="149"/>
    <tableColumn id="3" xr3:uid="{FC5B54D2-30CE-4A30-921B-4F416E4631A2}" name="Actual_x000a_cost" totalsRowFunction="sum" totalsRowDxfId="148"/>
    <tableColumn id="5" xr3:uid="{8E669ED0-B8D4-420A-8ECB-40FCD85F8C40}" name="Date due" dataDxfId="146" totalsRowDxfId="147" dataCellStyle="Amounts"/>
    <tableColumn id="4" xr3:uid="{C8610C7E-FC41-4460-80F9-AA9515525C71}" name="Difference" totalsRowFunction="sum" totalsRowDxfId="145">
      <calculatedColumnFormula>Children98111124137150163176189202215[[#This Row],[Budgeted
cost]]-Children98111124137150163176189202215[[#This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5" xr:uid="{C2C86050-D164-4667-B305-E23D4794B3D0}" name="Food99112125138151164177190203216" displayName="Food99112125138151164177190203216" ref="B35:F41" totalsRowCount="1" headerRowBorderDxfId="144">
  <autoFilter ref="B35:F40" xr:uid="{00000000-000C-0000-FFFF-FFFF03000000}"/>
  <tableColumns count="5">
    <tableColumn id="1" xr3:uid="{113C1CB7-1927-4840-BAAD-327145F83DC7}" name="Food" totalsRowLabel="Total" totalsRowDxfId="143"/>
    <tableColumn id="2" xr3:uid="{4EB2383F-D468-439F-8122-45B5FFDC570B}" name="Budgeted_x000a_cost" totalsRowFunction="sum" totalsRowDxfId="142"/>
    <tableColumn id="3" xr3:uid="{0DB2813D-8F2C-4961-9415-6F79EE911FC0}" name="Actual_x000a_cost" totalsRowFunction="sum" totalsRowDxfId="141"/>
    <tableColumn id="6" xr3:uid="{E37C5D16-7D8C-41AE-878B-792CB11AFD67}" name="Date due" dataDxfId="139" totalsRowDxfId="140" dataCellStyle="Amounts"/>
    <tableColumn id="4" xr3:uid="{140B11C8-4790-4A51-9F08-EC0EBEF2B528}" name="Difference" totalsRowFunction="sum" totalsRowDxfId="138">
      <calculatedColumnFormula>Food99112125138151164177190203216[[#This Row],[Budgeted
cost]]-Food99112125138151164177190203216[[#This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6" xr:uid="{82330090-719A-4C7A-9AA0-56BF7CF69734}" name="Insurance100113126139152165178191204217" displayName="Insurance100113126139152165178191204217" ref="B27:F33" totalsRowCount="1" headerRowBorderDxfId="137">
  <autoFilter ref="B27:F32" xr:uid="{00000000-000C-0000-FFFF-FFFF02000000}"/>
  <tableColumns count="5">
    <tableColumn id="1" xr3:uid="{06DF4C02-F9C8-43E5-87CB-2A9093C35358}" name="Insurance" totalsRowLabel="Total" totalsRowDxfId="136"/>
    <tableColumn id="2" xr3:uid="{CAB10AE7-3F49-4AF9-A63F-520589503760}" name="Budgeted_x000a_cost" totalsRowFunction="sum" totalsRowDxfId="135"/>
    <tableColumn id="3" xr3:uid="{440DD251-1D73-45B2-BDB8-0D00BF6DA3D4}" name="Actual_x000a_cost" totalsRowFunction="sum" totalsRowDxfId="134"/>
    <tableColumn id="5" xr3:uid="{9D295729-1FD1-4C24-8EC4-9ECFC10EAB9C}" name="Date due" dataDxfId="132" totalsRowDxfId="133" dataCellStyle="Amounts"/>
    <tableColumn id="4" xr3:uid="{5A73DBC0-42D3-432F-840A-B1A0E2E2E79F}" name="Difference" totalsRowFunction="sum" totalsRowDxfId="131">
      <calculatedColumnFormula>Insurance100113126139152165178191204217[[#This Row],[Budgeted
cost]]-Insurance100113126139152165178191204217[[#This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7" xr:uid="{F8B02686-F70B-4502-829F-6428F6900733}" name="Transportation101114127140153166179192205218" displayName="Transportation101114127140153166179192205218" ref="B15:F25" totalsRowCount="1" headerRowBorderDxfId="130">
  <autoFilter ref="B15:F24" xr:uid="{00000000-000C-0000-FFFF-FFFF01000000}"/>
  <tableColumns count="5">
    <tableColumn id="1" xr3:uid="{D8779946-1A49-46C1-90AC-B1FA07C7C449}" name="Transportation" totalsRowLabel="Total" totalsRowDxfId="129"/>
    <tableColumn id="2" xr3:uid="{9F6A27D4-136F-4602-995F-68FB9C20C367}" name="Budgeted_x000a_cost" totalsRowFunction="sum" totalsRowDxfId="128"/>
    <tableColumn id="3" xr3:uid="{6AE3EE90-0C68-441B-95AF-F5C597039C44}" name="Actual_x000a_cost" totalsRowFunction="sum" totalsRowDxfId="127"/>
    <tableColumn id="6" xr3:uid="{F66185B6-1ECC-4699-869F-E278CA447E1E}" name="Date due" dataDxfId="125" totalsRowDxfId="126" dataCellStyle="Amounts"/>
    <tableColumn id="4" xr3:uid="{3DE4C9E5-037D-44CD-83D9-4AFDCA1ABD99}" name="Difference" totalsRowFunction="sum" totalsRowDxfId="124">
      <calculatedColumnFormula>Transportation101114127140153166179192205218[[#This Row],[Budgeted
cost]]-Transportation101114127140153166179192205218[[#This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8" xr:uid="{4A72F5C5-80E3-466B-A78B-CA178F391385}" name="Housing102115128141154167180193206219" displayName="Housing102115128141154167180193206219" ref="B2:F13" totalsRowCount="1" headerRowDxfId="123" dataDxfId="122" totalsRowDxfId="121" headerRowBorderDxfId="119" tableBorderDxfId="120" dataCellStyle="Amounts">
  <autoFilter ref="B2:F12" xr:uid="{00000000-000C-0000-FFFF-FFFF00000000}"/>
  <tableColumns count="5">
    <tableColumn id="1" xr3:uid="{C96A3B69-2E76-45FC-AE97-E21C561144F2}" name="Housing" totalsRowLabel="Total" dataDxfId="117" totalsRowDxfId="118"/>
    <tableColumn id="2" xr3:uid="{4EEE9709-A8BA-476A-AEF2-6E3F29091411}" name="Budgeted_x000a_cost" totalsRowFunction="sum" dataDxfId="115" totalsRowDxfId="116" dataCellStyle="Amounts"/>
    <tableColumn id="3" xr3:uid="{5E03A911-CFDB-4A61-8AB2-69F12A1DF042}" name="Actual_x000a_cost" totalsRowFunction="sum" dataDxfId="113" totalsRowDxfId="114" dataCellStyle="Amounts"/>
    <tableColumn id="5" xr3:uid="{EDE4A2B0-BDDE-489C-AF82-C33CB3411442}" name="Date due" dataDxfId="112" dataCellStyle="Amounts"/>
    <tableColumn id="4" xr3:uid="{91537726-636C-4928-99DB-C50F31D922CC}" name="Difference" totalsRowFunction="sum" dataDxfId="110" totalsRowDxfId="111" dataCellStyle="Amounts">
      <calculatedColumnFormula>Housing102115128141154167180193206219[[#This Row],[Budgeted
cost]]-Housing102115128141154167180193206219[[#This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17DD6761-6314-49D9-BD17-4097EB57D323}" name="Summary79808182838485868788" displayName="Summary79808182838485868788" ref="B2:E3" totalsRowShown="0" headerRowDxfId="106" dataDxfId="105" tableBorderDxfId="104" headerRowCellStyle="Heading 1">
  <autoFilter ref="B2:E3" xr:uid="{00000000-0009-0000-0100-00000E000000}">
    <filterColumn colId="0" hiddenButton="1"/>
    <filterColumn colId="1" hiddenButton="1"/>
    <filterColumn colId="2" hiddenButton="1"/>
    <filterColumn colId="3" hiddenButton="1"/>
  </autoFilter>
  <tableColumns count="4">
    <tableColumn id="1" xr3:uid="{4ED6EB75-9391-47CE-B5E3-A804B1DC3BCF}" name="Summary " dataDxfId="103" dataCellStyle="Bottom border"/>
    <tableColumn id="2" xr3:uid="{3D4C05F1-7251-424D-9ABA-C9DD4D12430C}" name="Total_x000a_budgeted cost" dataDxfId="102" dataCellStyle="Bottom border">
      <calculatedColumnFormula>C19</calculatedColumnFormula>
    </tableColumn>
    <tableColumn id="3" xr3:uid="{65E7AD39-E7FC-49D7-B748-8FCD914E5C0E}" name="Total_x000a_actual cost" dataDxfId="101" dataCellStyle="Bottom border">
      <calculatedColumnFormula>D19</calculatedColumnFormula>
    </tableColumn>
    <tableColumn id="4" xr3:uid="{7BEB58A2-F8EA-4828-8032-C70054E83BA6}" name="Total_x000a_difference" dataDxfId="100" dataCellStyle="Bottom border">
      <calculatedColumnFormula>SUM(C3-D3)</calculatedColumnFormula>
    </tableColumn>
  </tableColumns>
  <tableStyleInfo name="ActualMonthlyIncome" showFirstColumn="0" showLastColumn="0" showRowStripes="1" showColumnStripes="0"/>
  <extLst>
    <ext xmlns:x14="http://schemas.microsoft.com/office/spreadsheetml/2009/9/main" uri="{504A1905-F514-4f6f-8877-14C23A59335A}">
      <x14:table altTextSummary="Total Projected and Actual Costs, and Total Difference are auto calculated in this summary table"/>
    </ext>
  </extLst>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9" xr:uid="{0BA941EE-91A5-4707-BCDF-D59EFF7A71CE}" name="Legal90103116129142155168181194207220" displayName="Legal90103116129142155168181194207220" ref="B56:F62" totalsRowCount="1" headerRowBorderDxfId="97">
  <autoFilter ref="B56:F61" xr:uid="{00000000-000C-0000-FFFF-FFFF0C000000}"/>
  <tableColumns count="5">
    <tableColumn id="1" xr3:uid="{88B53453-819D-47BC-ACA8-FD9D49AF7318}" name="Legal" totalsRowLabel="Total" totalsRowDxfId="96"/>
    <tableColumn id="2" xr3:uid="{F1F6084C-7A42-4CEC-9941-D7114E33C0E9}" name="Budgeted_x000a_cost" totalsRowFunction="sum" totalsRowDxfId="95"/>
    <tableColumn id="3" xr3:uid="{24F9BB18-FC9F-43CD-892A-515BC93531AC}" name="Actual_x000a_cost" totalsRowFunction="sum" totalsRowDxfId="94"/>
    <tableColumn id="5" xr3:uid="{45BE38FD-A611-4B61-8B32-0EF408DEB821}" name="Date due" dataDxfId="92" totalsRowDxfId="93" dataCellStyle="Amounts"/>
    <tableColumn id="4" xr3:uid="{D5B9BC65-C0AD-4737-9243-4A9B1A97A097}" name="Difference" totalsRowFunction="sum" totalsRowDxfId="91">
      <calculatedColumnFormula>Legal90103116129142155168181194207220[[#This Row],[Budgeted
cost]]-Legal90103116129142155168181194207220[[#This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F7E3A379-F4F0-4E14-A18B-8CC2909AB2BF}" name="Gifts91104117130143156169182195208221" displayName="Gifts91104117130143156169182195208221" ref="H56:L60" totalsRowCount="1" headerRowBorderDxfId="90">
  <autoFilter ref="H56:L59" xr:uid="{00000000-000C-0000-FFFF-FFFF0B000000}"/>
  <tableColumns count="5">
    <tableColumn id="1" xr3:uid="{B0DF6FC0-E655-453B-9F53-9AB51ED207A3}" name="Gifts and donations" totalsRowLabel="Total" totalsRowDxfId="89"/>
    <tableColumn id="2" xr3:uid="{B7156E67-8293-4767-B860-D146C46C6517}" name="Budgeted_x000a_cost" totalsRowFunction="sum" totalsRowDxfId="88"/>
    <tableColumn id="3" xr3:uid="{AF8C0EB5-F0E7-48A7-BFA8-91553275228C}" name="Actual_x000a_cost" totalsRowFunction="sum" totalsRowDxfId="87"/>
    <tableColumn id="5" xr3:uid="{909B778A-D1CE-4B9A-B0E9-503F4978E0C8}" name="Date due" dataDxfId="85" totalsRowDxfId="86" dataCellStyle="Amounts"/>
    <tableColumn id="4" xr3:uid="{8B1F64B7-8326-4FCC-A7F3-77A72C2AB81A}" name="Difference" totalsRowFunction="sum" totalsRowDxfId="84">
      <calculatedColumnFormula>Gifts91104117130143156169182195208221[[#This Row],[Budgeted
cost]]-Gifts91104117130143156169182195208221[[#This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1" xr:uid="{96544905-7DF8-419C-AE3D-3F60EB13C057}" name="Savings92105118131144157170183196209222" displayName="Savings92105118131144157170183196209222" ref="H2:L10" totalsRowCount="1" headerRowBorderDxfId="83">
  <autoFilter ref="H2:L9" xr:uid="{00000000-000C-0000-FFFF-FFFF0A000000}"/>
  <tableColumns count="5">
    <tableColumn id="1" xr3:uid="{A7CE1F76-C14D-4A05-B04E-F1D057DA31BE}" name="Savings/investments" totalsRowLabel="Total" totalsRowDxfId="82"/>
    <tableColumn id="2" xr3:uid="{ADEF5FC5-BC33-44A5-9DCC-0E8DB705D8FE}" name="Budgeted_x000a_cost" totalsRowFunction="sum" totalsRowDxfId="81"/>
    <tableColumn id="3" xr3:uid="{A68B525E-51F8-4256-80AF-3F9ECB350A02}" name="Actual_x000a_cost" totalsRowFunction="sum" totalsRowDxfId="80"/>
    <tableColumn id="5" xr3:uid="{2D4BC83C-1945-485E-9B06-F1810B77A2A8}" name="Date due" dataDxfId="78" totalsRowDxfId="79" dataCellStyle="Amounts"/>
    <tableColumn id="4" xr3:uid="{F2D2ECEB-3023-4DA7-81F1-B3146A333F25}" name="Difference" totalsRowFunction="sum" totalsRowDxfId="77">
      <calculatedColumnFormula>Savings92105118131144157170183196209222[[#This Row],[Budgeted
cost]]-Savings92105118131144157170183196209222[[#This Row],[Actual
cost]]</calculatedColumnFormula>
    </tableColumn>
  </tableColumns>
  <tableStyleInfo name="Monthly Family Budget" showFirstColumn="1"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B932F333-AD79-41B0-97AF-1626F920F387}" name="Summary7989" displayName="Summary7989" ref="B2:E3" totalsRowShown="0" headerRowDxfId="1206" dataDxfId="1205" tableBorderDxfId="1204" headerRowCellStyle="Heading 1">
  <autoFilter ref="B2:E3" xr:uid="{00000000-0009-0000-0100-00000E000000}">
    <filterColumn colId="0" hiddenButton="1"/>
    <filterColumn colId="1" hiddenButton="1"/>
    <filterColumn colId="2" hiddenButton="1"/>
    <filterColumn colId="3" hiddenButton="1"/>
  </autoFilter>
  <tableColumns count="4">
    <tableColumn id="1" xr3:uid="{30B2406A-3A57-4918-80E2-4010C2C192CB}" name="Summary " dataDxfId="1203" dataCellStyle="Bottom border"/>
    <tableColumn id="2" xr3:uid="{D535C58D-5074-47BB-B099-9B90631C7AE5}" name="Total_x000a_budgeted cost" dataDxfId="1202" dataCellStyle="Bottom border">
      <calculatedColumnFormula>C19</calculatedColumnFormula>
    </tableColumn>
    <tableColumn id="3" xr3:uid="{35B10A66-0444-427D-8E62-71B0E2DC8B9F}" name="Total_x000a_actual cost" dataDxfId="1201" dataCellStyle="Bottom border">
      <calculatedColumnFormula>D19</calculatedColumnFormula>
    </tableColumn>
    <tableColumn id="4" xr3:uid="{E91630BF-C292-48B2-A15E-0061196E9ED5}" name="Total_x000a_difference" dataDxfId="1200" dataCellStyle="Bottom border">
      <calculatedColumnFormula>SUM(C3-D3)</calculatedColumnFormula>
    </tableColumn>
  </tableColumns>
  <tableStyleInfo name="ActualMonthlyIncome" showFirstColumn="0" showLastColumn="0" showRowStripes="1" showColumnStripes="0"/>
  <extLst>
    <ext xmlns:x14="http://schemas.microsoft.com/office/spreadsheetml/2009/9/main" uri="{504A1905-F514-4f6f-8877-14C23A59335A}">
      <x14:table altTextSummary="Total Projected and Actual Costs, and Total Difference are auto calculated in this summary table"/>
    </ext>
  </extLst>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2" xr:uid="{79655529-521A-47A9-A883-F7D61185AC3E}" name="Taxes93106119132145158171184197210223" displayName="Taxes93106119132145158171184197210223" ref="H35:L40" totalsRowCount="1" headerRowBorderDxfId="76">
  <autoFilter ref="H35:L39" xr:uid="{00000000-000C-0000-FFFF-FFFF09000000}"/>
  <tableColumns count="5">
    <tableColumn id="1" xr3:uid="{EE41FF06-F24F-4BCF-8B8E-249402D74485}" name="Taxes" totalsRowLabel="Total" totalsRowDxfId="75"/>
    <tableColumn id="2" xr3:uid="{7C1455EF-71CD-44AB-B6DC-269FEB94A6C3}" name="Budgeted _x000a_cost" totalsRowFunction="sum" totalsRowDxfId="74"/>
    <tableColumn id="3" xr3:uid="{2F06BDAF-AAD7-420D-8B15-9C5D003D4768}" name="Actual _x000a_cost" totalsRowFunction="sum" totalsRowDxfId="73"/>
    <tableColumn id="5" xr3:uid="{2E6B25E0-48EE-4F3F-B6CF-416CB9AF9FDC}" name="Date due" dataDxfId="71" totalsRowDxfId="72" dataCellStyle="Amounts"/>
    <tableColumn id="4" xr3:uid="{FF9F0844-4A06-4DF7-AE89-62C99A1D74D5}" name="Difference" totalsRowFunction="sum" totalsRowDxfId="70">
      <calculatedColumnFormula>Taxes93106119132145158171184197210223[[#This Row],[Budgeted 
cost]]-Taxes93106119132145158171184197210223[[#This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 xr:uid="{0C83B803-F53D-4FAE-8914-2FFF7A04D8F3}" name="Loans94107120133146159172185198211224" displayName="Loans94107120133146159172185198211224" ref="H43:L51" totalsRowCount="1" headerRowBorderDxfId="69">
  <autoFilter ref="H43:L50" xr:uid="{00000000-000C-0000-FFFF-FFFF08000000}"/>
  <tableColumns count="5">
    <tableColumn id="1" xr3:uid="{D43AC4EE-1596-4BE5-BFC4-EC6CB477D6A0}" name="Loans" totalsRowLabel="Total" totalsRowDxfId="68"/>
    <tableColumn id="2" xr3:uid="{EAD4C6DB-80DB-4205-9535-43A3F597E1E0}" name="Budgeted_x000a_cost" totalsRowFunction="sum" totalsRowDxfId="67"/>
    <tableColumn id="3" xr3:uid="{14CC839B-13EE-4DCE-A81E-3748C7C13162}" name="Actual_x000a_cost" totalsRowFunction="sum" totalsRowDxfId="66"/>
    <tableColumn id="5" xr3:uid="{92D434BB-45E2-4C91-88C2-841DA383ACAF}" name="Date due" dataDxfId="64" totalsRowDxfId="65" dataCellStyle="Amounts"/>
    <tableColumn id="4" xr3:uid="{EE2649D7-D3A3-411F-9FDF-555808B468EE}" name="Difference" totalsRowFunction="sum" totalsRowDxfId="63">
      <calculatedColumnFormula>Loans94107120133146159172185198211224[[#This Row],[Budgeted
cost]]-Loans94107120133146159172185198211224[[#This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4" xr:uid="{D76BB951-8C9C-4618-94B4-E11CFD5F10F3}" name="Entertainment95108121134147160173186199212225" displayName="Entertainment95108121134147160173186199212225" ref="B64:F72" totalsRowCount="1" headerRowBorderDxfId="62">
  <autoFilter ref="B64:F71" xr:uid="{00000000-000C-0000-FFFF-FFFF07000000}"/>
  <tableColumns count="5">
    <tableColumn id="1" xr3:uid="{9E18806F-1516-45A7-BA2D-F259483BF5BC}" name="Entertainment" totalsRowLabel="Total" totalsRowDxfId="61"/>
    <tableColumn id="2" xr3:uid="{BE9DC797-A2E7-4891-AAC6-80782D2C273E}" name="Budgeted_x000a_cost" totalsRowFunction="sum" totalsRowDxfId="60"/>
    <tableColumn id="3" xr3:uid="{4225E4A4-1059-4250-9560-05CA808A9D6F}" name="Actual_x000a_cost" totalsRowFunction="sum" totalsRowDxfId="59"/>
    <tableColumn id="5" xr3:uid="{B063D208-094D-4F91-81D9-15292FCD9930}" name="Date due" dataDxfId="57" totalsRowDxfId="58" dataCellStyle="Amounts"/>
    <tableColumn id="4" xr3:uid="{15379095-97AB-4745-BC52-C22668E4578D}" name="Difference" totalsRowFunction="sum" totalsRowDxfId="56">
      <calculatedColumnFormula>Entertainment95108121134147160173186199212225[[#This Row],[Budgeted
cost]]-Entertainment95108121134147160173186199212225[[#This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5" xr:uid="{180DCCE3-EB2B-44AF-BC84-DB379DC4610F}" name="PersonalCare96109122135148161174187200213226" displayName="PersonalCare96109122135148161174187200213226" ref="H15:L24" totalsRowCount="1" headerRowBorderDxfId="55">
  <autoFilter ref="H15:L23" xr:uid="{00000000-000C-0000-FFFF-FFFF06000000}"/>
  <tableColumns count="5">
    <tableColumn id="1" xr3:uid="{3773D245-7A5F-482F-A40F-CEFDF0D929F7}" name="Personal care" totalsRowLabel="Total" totalsRowDxfId="54"/>
    <tableColumn id="2" xr3:uid="{8158C294-71F3-4D9F-ACEF-4BAE87B0DF95}" name="Budgeted_x000a_cost" totalsRowFunction="sum" totalsRowDxfId="53"/>
    <tableColumn id="3" xr3:uid="{89B4C26D-C6F4-44B7-AAD0-A391E4F4BE15}" name="Actual_x000a_cost" totalsRowFunction="sum" totalsRowDxfId="52"/>
    <tableColumn id="5" xr3:uid="{F9EA7D44-DBAE-4E75-A3C6-7638AF532E36}" name="Date due" dataDxfId="50" totalsRowDxfId="51" dataCellStyle="Amounts"/>
    <tableColumn id="4" xr3:uid="{E9B6B732-7B26-457D-B19F-E65EF5140D4B}" name="Difference" totalsRowFunction="sum" totalsRowDxfId="49">
      <calculatedColumnFormula>PersonalCare96109122135148161174187200213226[[#This Row],[Budgeted
cost]]-PersonalCare96109122135148161174187200213226[[#This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6" xr:uid="{89168AC1-4DC9-4369-A007-3F3ADBA13C85}" name="Pets97110123136149162175188201214227" displayName="Pets97110123136149162175188201214227" ref="H27:L33" totalsRowCount="1" headerRowBorderDxfId="48">
  <autoFilter ref="H27:L32" xr:uid="{00000000-000C-0000-FFFF-FFFF05000000}"/>
  <tableColumns count="5">
    <tableColumn id="1" xr3:uid="{0A3C0CEC-2451-4597-A3C0-56E50607E23F}" name="Pets" totalsRowLabel="Total" totalsRowDxfId="47"/>
    <tableColumn id="2" xr3:uid="{DCB8E8E6-C273-4731-8911-364ED045CC61}" name="Budgeted_x000a_cost" totalsRowFunction="sum" totalsRowDxfId="46"/>
    <tableColumn id="3" xr3:uid="{49BEDC85-B09C-44C7-A1C5-421C9A660B98}" name="Actual_x000a_cost" totalsRowFunction="sum" totalsRowDxfId="45"/>
    <tableColumn id="5" xr3:uid="{5214108F-593B-4E20-8396-3E49CA71FCA0}" name="Date due" dataDxfId="43" totalsRowDxfId="44" dataCellStyle="Amounts"/>
    <tableColumn id="4" xr3:uid="{890F0BF1-45DF-4A9A-9C12-398A989F6E01}" name="Difference" totalsRowFunction="sum" totalsRowDxfId="42">
      <calculatedColumnFormula>Pets97110123136149162175188201214227[[#This Row],[Budgeted
cost]]-Pets97110123136149162175188201214227[[#This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7" xr:uid="{63A62576-FF00-4E14-A8C8-A748E26E99B9}" name="Children98111124137150163176189202215228" displayName="Children98111124137150163176189202215228" ref="B43:F54" totalsRowCount="1" headerRowBorderDxfId="41">
  <autoFilter ref="B43:F53" xr:uid="{00000000-000C-0000-FFFF-FFFF04000000}"/>
  <tableColumns count="5">
    <tableColumn id="1" xr3:uid="{6902A5F1-E20C-479A-BAFE-CEEBC5383C55}" name="Children" totalsRowLabel="Total" totalsRowDxfId="40"/>
    <tableColumn id="2" xr3:uid="{3949593F-2A1B-4A24-9131-03BA4471874E}" name="Budgeted_x000a_cost" totalsRowFunction="sum" totalsRowDxfId="39"/>
    <tableColumn id="3" xr3:uid="{8996A0B8-1476-4598-8DE7-7B0BE72360C9}" name="Actual_x000a_cost" totalsRowFunction="sum" totalsRowDxfId="38"/>
    <tableColumn id="5" xr3:uid="{F3A7E9CF-26B8-41F8-ADF0-D26A4E43D52C}" name="Date due" dataDxfId="36" totalsRowDxfId="37" dataCellStyle="Amounts"/>
    <tableColumn id="4" xr3:uid="{5D28DBA2-1B68-4549-B1E9-31F228705F9B}" name="Difference" totalsRowFunction="sum" totalsRowDxfId="35">
      <calculatedColumnFormula>Children98111124137150163176189202215228[[#This Row],[Budgeted
cost]]-Children98111124137150163176189202215228[[#This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8" xr:uid="{496E6D22-3B8F-4A9B-912C-DEC41EAB1554}" name="Food99112125138151164177190203216229" displayName="Food99112125138151164177190203216229" ref="B35:F41" totalsRowCount="1" headerRowBorderDxfId="34">
  <autoFilter ref="B35:F40" xr:uid="{00000000-000C-0000-FFFF-FFFF03000000}"/>
  <tableColumns count="5">
    <tableColumn id="1" xr3:uid="{E6C989CB-3620-448E-A540-65DC29E2505A}" name="Food" totalsRowLabel="Total" totalsRowDxfId="33"/>
    <tableColumn id="2" xr3:uid="{19F69437-729A-4CF2-96A5-C8AD5C580DF1}" name="Budgeted_x000a_cost" totalsRowFunction="sum" totalsRowDxfId="32"/>
    <tableColumn id="3" xr3:uid="{6A779FCF-3D37-4562-B585-CCE0820937DE}" name="Actual_x000a_cost" totalsRowFunction="sum" totalsRowDxfId="31"/>
    <tableColumn id="6" xr3:uid="{7178CCEE-6E35-467D-95AA-35B89711FCA8}" name="Date due" dataDxfId="29" totalsRowDxfId="30" dataCellStyle="Amounts"/>
    <tableColumn id="4" xr3:uid="{694DE02F-69D9-4CA7-B40B-9AEA78210F8E}" name="Difference" totalsRowFunction="sum" totalsRowDxfId="28">
      <calculatedColumnFormula>Food99112125138151164177190203216229[[#This Row],[Budgeted
cost]]-Food99112125138151164177190203216229[[#This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9" xr:uid="{9212D624-40CA-485F-8F0F-DCDFA77B55B1}" name="Insurance100113126139152165178191204217230" displayName="Insurance100113126139152165178191204217230" ref="B27:F33" totalsRowCount="1" headerRowBorderDxfId="27">
  <autoFilter ref="B27:F32" xr:uid="{00000000-000C-0000-FFFF-FFFF02000000}"/>
  <tableColumns count="5">
    <tableColumn id="1" xr3:uid="{9FF2010A-0510-4516-94CF-DE5C436F81D2}" name="Insurance" totalsRowLabel="Total" totalsRowDxfId="26"/>
    <tableColumn id="2" xr3:uid="{2B276626-B016-4AF7-82F4-A6B56C430A71}" name="Budgeted_x000a_cost" totalsRowFunction="sum" totalsRowDxfId="25"/>
    <tableColumn id="3" xr3:uid="{5E455406-BB70-4B1F-8150-7516E5E97CD4}" name="Actual_x000a_cost" totalsRowFunction="sum" totalsRowDxfId="24"/>
    <tableColumn id="5" xr3:uid="{E76753AD-21F1-463E-9D4D-A00B38DEA962}" name="Date due" dataDxfId="22" totalsRowDxfId="23" dataCellStyle="Amounts"/>
    <tableColumn id="4" xr3:uid="{B20C5EFC-B07A-434D-9167-99F8160C19E2}" name="Difference" totalsRowFunction="sum" totalsRowDxfId="21">
      <calculatedColumnFormula>Insurance100113126139152165178191204217230[[#This Row],[Budgeted
cost]]-Insurance100113126139152165178191204217230[[#This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0" xr:uid="{6B0FDEF1-FFB0-4584-B45D-6FE80C7A6A33}" name="Transportation101114127140153166179192205218231" displayName="Transportation101114127140153166179192205218231" ref="B15:F25" totalsRowCount="1" headerRowBorderDxfId="20">
  <autoFilter ref="B15:F24" xr:uid="{00000000-000C-0000-FFFF-FFFF01000000}"/>
  <tableColumns count="5">
    <tableColumn id="1" xr3:uid="{E9342C97-2D45-4946-9B2E-3DB2740B9A13}" name="Transportation" totalsRowLabel="Total" totalsRowDxfId="19"/>
    <tableColumn id="2" xr3:uid="{B5A71BDC-6F52-4F70-8CCB-1B06771EBEA6}" name="Budgeted_x000a_cost" totalsRowFunction="sum" totalsRowDxfId="18"/>
    <tableColumn id="3" xr3:uid="{BBC03D76-4BAA-4AC3-91E9-06EC8E206D4A}" name="Actual_x000a_cost" totalsRowFunction="sum" totalsRowDxfId="17"/>
    <tableColumn id="6" xr3:uid="{CAAD7E62-68F5-42C8-9E9C-EE07C4717F2C}" name="Date due" dataDxfId="15" totalsRowDxfId="16" dataCellStyle="Amounts"/>
    <tableColumn id="4" xr3:uid="{05A3C49D-DA2D-4DE9-AB92-2876E9889A93}" name="Difference" totalsRowFunction="sum" totalsRowDxfId="14">
      <calculatedColumnFormula>Transportation101114127140153166179192205218231[[#This Row],[Budgeted
cost]]-Transportation101114127140153166179192205218231[[#This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1" xr:uid="{D2241F13-B0C1-44D3-9E7B-91C51ED1A9C3}" name="Housing102115128141154167180193206219232" displayName="Housing102115128141154167180193206219232" ref="B2:F13" totalsRowCount="1" headerRowDxfId="13" dataDxfId="12" totalsRowDxfId="11" headerRowBorderDxfId="9" tableBorderDxfId="10" dataCellStyle="Amounts">
  <autoFilter ref="B2:F12" xr:uid="{00000000-000C-0000-FFFF-FFFF00000000}"/>
  <tableColumns count="5">
    <tableColumn id="1" xr3:uid="{4409D856-0132-4428-9CCC-CBE76392C40A}" name="Housing" totalsRowLabel="Total" dataDxfId="7" totalsRowDxfId="8"/>
    <tableColumn id="2" xr3:uid="{E27B6B23-DAC3-476A-BF99-F4136A63166A}" name="Budgeted_x000a_cost" totalsRowFunction="sum" dataDxfId="5" totalsRowDxfId="6" dataCellStyle="Amounts"/>
    <tableColumn id="3" xr3:uid="{68A50F7A-8A64-4DE4-86F3-96DA38EAB268}" name="Actual_x000a_cost" totalsRowFunction="sum" dataDxfId="3" totalsRowDxfId="4" dataCellStyle="Amounts"/>
    <tableColumn id="5" xr3:uid="{6DCBCE3A-49AB-4A6B-B95E-BE130A9F63AC}" name="Date due" dataDxfId="2" dataCellStyle="Amounts"/>
    <tableColumn id="4" xr3:uid="{4DAD2ED7-520E-4486-B02B-4312F7DF815D}" name="Difference" totalsRowFunction="sum" dataDxfId="0" totalsRowDxfId="1" dataCellStyle="Amounts">
      <calculatedColumnFormula>Housing102115128141154167180193206219232[[#This Row],[Budgeted
cost]]-Housing102115128141154167180193206219232[[#This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1814853A-7E8D-4F6F-BCB2-E2E0F9EA6582}" name="Legal90" displayName="Legal90" ref="B56:F62" totalsRowCount="1" headerRowBorderDxfId="1197">
  <autoFilter ref="B56:F61" xr:uid="{00000000-000C-0000-FFFF-FFFF0C000000}"/>
  <tableColumns count="5">
    <tableColumn id="1" xr3:uid="{58ECD6B9-6A53-4F1D-80C3-8845634921A2}" name="Legal" totalsRowLabel="Total" totalsRowDxfId="1196"/>
    <tableColumn id="2" xr3:uid="{17BB9C05-F26F-442F-A489-8F44517D18F3}" name="Budgeted_x000a_cost" totalsRowFunction="sum" totalsRowDxfId="1195"/>
    <tableColumn id="3" xr3:uid="{C1838A5E-02DB-4655-B92F-3BF5D13E8D6F}" name="Actual_x000a_cost" totalsRowFunction="sum" totalsRowDxfId="1194"/>
    <tableColumn id="5" xr3:uid="{AC16F617-6056-44B9-A8F5-D37ED350C062}" name="Date due" dataDxfId="1192" totalsRowDxfId="1193" dataCellStyle="Amounts"/>
    <tableColumn id="4" xr3:uid="{EF9B7E6A-7C08-4D94-AF0D-5A15CD3CE420}" name="Difference" totalsRowFunction="sum" totalsRowDxfId="1191">
      <calculatedColumnFormula>Legal90[[#This Row],[Budgeted
cost]]-Legal90[[#This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FFAE27FD-1BB8-4374-B794-20B3160E61B9}" name="Gifts91" displayName="Gifts91" ref="H56:L60" totalsRowCount="1" headerRowBorderDxfId="1190">
  <autoFilter ref="H56:L59" xr:uid="{00000000-000C-0000-FFFF-FFFF0B000000}"/>
  <tableColumns count="5">
    <tableColumn id="1" xr3:uid="{1F50F39C-E011-40DA-91C4-1A2AD300ED89}" name="Gifts and donations" totalsRowLabel="Total" totalsRowDxfId="1189"/>
    <tableColumn id="2" xr3:uid="{1727A6E8-C3B9-4B41-B7EE-34FE9EA8D0F2}" name="Budgeted_x000a_cost" totalsRowFunction="sum" totalsRowDxfId="1188"/>
    <tableColumn id="3" xr3:uid="{65E76F3D-B591-4260-B76C-E987345F1D45}" name="Actual_x000a_cost" totalsRowFunction="sum" totalsRowDxfId="1187"/>
    <tableColumn id="5" xr3:uid="{8AF0DED8-9721-47DB-8F58-CB06C83DECF0}" name="Date due" dataDxfId="1185" totalsRowDxfId="1186" dataCellStyle="Amounts"/>
    <tableColumn id="4" xr3:uid="{0DD3302A-C962-4AC9-8FDC-49D543F7CA7D}" name="Difference" totalsRowFunction="sum" totalsRowDxfId="1184">
      <calculatedColumnFormula>Gifts91[[#This Row],[Budgeted
cost]]-Gifts91[[#This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39AA1ECA-619C-4EDF-B3F1-C37C9AE6C145}" name="Savings92" displayName="Savings92" ref="H2:L10" totalsRowCount="1" headerRowBorderDxfId="1183">
  <autoFilter ref="H2:L9" xr:uid="{00000000-000C-0000-FFFF-FFFF0A000000}"/>
  <tableColumns count="5">
    <tableColumn id="1" xr3:uid="{9C293195-E49F-41D0-9CFC-5E5377528D23}" name="Savings/investments" totalsRowLabel="Total" totalsRowDxfId="1182"/>
    <tableColumn id="2" xr3:uid="{CF8BA5EB-A30F-4F46-BD3E-0F4833A0ADE6}" name="Budgeted_x000a_cost" totalsRowFunction="sum" totalsRowDxfId="1181"/>
    <tableColumn id="3" xr3:uid="{C821B23C-9E4E-4F26-92B2-26E08AD050CD}" name="Actual_x000a_cost" totalsRowFunction="sum" totalsRowDxfId="1180"/>
    <tableColumn id="5" xr3:uid="{00ADDD4F-7E1E-4730-9E46-78ECA8258ECA}" name="Date due" dataDxfId="1178" totalsRowDxfId="1179" dataCellStyle="Amounts"/>
    <tableColumn id="4" xr3:uid="{EE6F9EB8-40FE-4ABC-8602-40A3E244DEC8}" name="Difference" totalsRowFunction="sum" totalsRowDxfId="1177">
      <calculatedColumnFormula>Savings92[[#This Row],[Budgeted
cost]]-Savings92[[#This Row],[Actual
cost]]</calculatedColumnFormula>
    </tableColumn>
  </tableColumns>
  <tableStyleInfo name="Monthly Family Budget" showFirstColumn="1"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Summary" displayName="Summary" ref="B2:E3" totalsRowShown="0" headerRowDxfId="1316" dataDxfId="1315" tableBorderDxfId="1314" headerRowCellStyle="Heading 1">
  <autoFilter ref="B2:E3" xr:uid="{00000000-0009-0000-0100-00000E000000}">
    <filterColumn colId="0" hiddenButton="1"/>
    <filterColumn colId="1" hiddenButton="1"/>
    <filterColumn colId="2" hiddenButton="1"/>
    <filterColumn colId="3" hiddenButton="1"/>
  </autoFilter>
  <tableColumns count="4">
    <tableColumn id="1" xr3:uid="{00000000-0010-0000-1000-000001000000}" name="Summary " dataDxfId="1313" dataCellStyle="Bottom border"/>
    <tableColumn id="2" xr3:uid="{00000000-0010-0000-1000-000002000000}" name="Total_x000a_budgeted cost" dataDxfId="1312" dataCellStyle="Bottom border">
      <calculatedColumnFormula>SUM('Jan - Bills &amp; Expenses'!C25,'Jan - Bills &amp; Expenses'!I51,'Jan - Bills &amp; Expenses'!C33,'Jan - Bills &amp; Expenses'!C72,'Jan - Bills &amp; Expenses'!C41,'Jan - Bills &amp; Expenses'!I40,'Jan - Bills &amp; Expenses'!C54,'Jan - Bills &amp; Expenses'!I24,'Jan - Bills &amp; Expenses'!I33,'Jan - Bills &amp; Expenses'!C62,'Jan - Bills &amp; Expenses'!I10,'Jan - Bills &amp; Expenses'!I60)</calculatedColumnFormula>
    </tableColumn>
    <tableColumn id="3" xr3:uid="{00000000-0010-0000-1000-000003000000}" name="Total_x000a_actual cost" dataDxfId="1311" dataCellStyle="Bottom border">
      <calculatedColumnFormula>SUM(Housing[[#Totals],[Actual
cost]],'Jan - Bills &amp; Expenses'!D25,'Jan - Bills &amp; Expenses'!J51,'Jan - Bills &amp; Expenses'!D33,'Jan - Bills &amp; Expenses'!D72,'Jan - Bills &amp; Expenses'!D41,'Jan - Bills &amp; Expenses'!J40,'Jan - Bills &amp; Expenses'!D54,'Jan - Bills &amp; Expenses'!J24,'Jan - Bills &amp; Expenses'!D62,'Jan - Bills &amp; Expenses'!J33,'Jan - Bills &amp; Expenses'!J10,'Jan - Bills &amp; Expenses'!J60)</calculatedColumnFormula>
    </tableColumn>
    <tableColumn id="4" xr3:uid="{00000000-0010-0000-1000-000004000000}" name="Total_x000a_difference" dataDxfId="1310" dataCellStyle="Bottom border">
      <calculatedColumnFormula>SUM(C3-D3)</calculatedColumnFormula>
    </tableColumn>
  </tableColumns>
  <tableStyleInfo name="ActualMonthlyIncome" showFirstColumn="0" showLastColumn="0" showRowStripes="1" showColumnStripes="0"/>
  <extLst>
    <ext xmlns:x14="http://schemas.microsoft.com/office/spreadsheetml/2009/9/main" uri="{504A1905-F514-4f6f-8877-14C23A59335A}">
      <x14:table altTextSummary="Total Projected and Actual Costs, and Total Difference are auto calculated in this summary table"/>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9EBB9E33-D93F-4EAE-B0DD-E364F2E11580}" name="Taxes93" displayName="Taxes93" ref="H35:L40" totalsRowCount="1" headerRowBorderDxfId="1176">
  <autoFilter ref="H35:L39" xr:uid="{00000000-000C-0000-FFFF-FFFF09000000}"/>
  <tableColumns count="5">
    <tableColumn id="1" xr3:uid="{9B45D3E4-6120-45B8-94DA-0E6CE424D74A}" name="Taxes" totalsRowLabel="Total" totalsRowDxfId="1175"/>
    <tableColumn id="2" xr3:uid="{D1D54AB6-5141-4FDC-82AC-B4E4BE89692F}" name="Budgeted _x000a_cost" totalsRowFunction="sum" totalsRowDxfId="1174"/>
    <tableColumn id="3" xr3:uid="{8BE8728D-FDBA-4F8F-8D8D-7229FC9175F7}" name="Actual _x000a_cost" totalsRowFunction="sum" totalsRowDxfId="1173"/>
    <tableColumn id="5" xr3:uid="{E6C588D5-BE10-4C43-845A-F769167BBE1C}" name="Date due" dataDxfId="1171" totalsRowDxfId="1172" dataCellStyle="Amounts"/>
    <tableColumn id="4" xr3:uid="{100B681D-BD93-47C4-B0E3-D911CD1C165C}" name="Difference" totalsRowFunction="sum" totalsRowDxfId="1170">
      <calculatedColumnFormula>Taxes93[[#This Row],[Budgeted 
cost]]-Taxes93[[#This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7C60A785-BD76-4482-A68C-848B3771EC06}" name="Loans94" displayName="Loans94" ref="H43:L51" totalsRowCount="1" headerRowBorderDxfId="1169">
  <autoFilter ref="H43:L50" xr:uid="{00000000-000C-0000-FFFF-FFFF08000000}"/>
  <tableColumns count="5">
    <tableColumn id="1" xr3:uid="{2E6C3335-9F1F-428A-94CA-E2D4BC01A870}" name="Loans" totalsRowLabel="Total" totalsRowDxfId="1168"/>
    <tableColumn id="2" xr3:uid="{2809FBA3-64CD-4AA3-9537-DC63E30F0F69}" name="Budgeted_x000a_cost" totalsRowFunction="sum" totalsRowDxfId="1167"/>
    <tableColumn id="3" xr3:uid="{0607AFE5-3138-448B-BB00-42E6DF60E20D}" name="Actual_x000a_cost" totalsRowFunction="sum" totalsRowDxfId="1166"/>
    <tableColumn id="5" xr3:uid="{E6647B0A-7FCB-4FA1-8832-18C3814CF5E0}" name="Date due" dataDxfId="1164" totalsRowDxfId="1165" dataCellStyle="Amounts"/>
    <tableColumn id="4" xr3:uid="{8C202590-081B-4A9D-9988-09914E5A2185}" name="Difference" totalsRowFunction="sum" totalsRowDxfId="1163">
      <calculatedColumnFormula>Loans94[[#This Row],[Budgeted
cost]]-Loans94[[#This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4F4F62A8-2691-44BA-913B-5F225AFE5144}" name="Entertainment95" displayName="Entertainment95" ref="B64:F72" totalsRowCount="1" headerRowBorderDxfId="1162">
  <autoFilter ref="B64:F71" xr:uid="{00000000-000C-0000-FFFF-FFFF07000000}"/>
  <tableColumns count="5">
    <tableColumn id="1" xr3:uid="{ED3877C1-CA21-4EB7-8778-BE8F0B013EDD}" name="Entertainment" totalsRowLabel="Total" totalsRowDxfId="1161"/>
    <tableColumn id="2" xr3:uid="{4A99E89B-A071-4054-BEF8-EC1B61DCBB44}" name="Budgeted_x000a_cost" totalsRowFunction="sum" totalsRowDxfId="1160"/>
    <tableColumn id="3" xr3:uid="{0CE5EA70-06D6-4DBD-A56B-5AD449CB63A5}" name="Actual_x000a_cost" totalsRowFunction="sum" totalsRowDxfId="1159"/>
    <tableColumn id="5" xr3:uid="{E90ADC87-7260-4D07-A69E-6690DF37CF72}" name="Date due" dataDxfId="1157" totalsRowDxfId="1158" dataCellStyle="Amounts"/>
    <tableColumn id="4" xr3:uid="{EA37F19C-9BED-4E81-A6C1-BB0058F474E0}" name="Difference" totalsRowFunction="sum" totalsRowDxfId="1156">
      <calculatedColumnFormula>Entertainment95[[#This Row],[Budgeted
cost]]-Entertainment95[[#This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38867D6B-83D3-4C06-9879-7E341614AC32}" name="PersonalCare96" displayName="PersonalCare96" ref="H15:L24" totalsRowCount="1" headerRowBorderDxfId="1155">
  <autoFilter ref="H15:L23" xr:uid="{00000000-000C-0000-FFFF-FFFF06000000}"/>
  <tableColumns count="5">
    <tableColumn id="1" xr3:uid="{A0F917A7-8B60-4B17-94DE-1C73B49751E1}" name="Personal care" totalsRowLabel="Total" totalsRowDxfId="1154"/>
    <tableColumn id="2" xr3:uid="{40E1F73C-E568-4A7A-A136-72744016A527}" name="Budgeted_x000a_cost" totalsRowFunction="sum" totalsRowDxfId="1153"/>
    <tableColumn id="3" xr3:uid="{8985A0DB-2117-470B-BAF4-9E5214D67088}" name="Actual_x000a_cost" totalsRowFunction="sum" totalsRowDxfId="1152"/>
    <tableColumn id="5" xr3:uid="{2AA18C76-A257-4122-AD0D-0C0595C0AA37}" name="Date due" dataDxfId="1150" totalsRowDxfId="1151" dataCellStyle="Amounts"/>
    <tableColumn id="4" xr3:uid="{DB0707DB-C6D2-48D2-B1F0-CA3B6D1E2F42}" name="Difference" totalsRowFunction="sum" totalsRowDxfId="1149">
      <calculatedColumnFormula>PersonalCare96[[#This Row],[Budgeted
cost]]-PersonalCare96[[#This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C397E0CC-621D-46B3-8CD7-EE5340F74C96}" name="Pets97" displayName="Pets97" ref="H27:L33" totalsRowCount="1" headerRowBorderDxfId="1148">
  <autoFilter ref="H27:L32" xr:uid="{00000000-000C-0000-FFFF-FFFF05000000}"/>
  <tableColumns count="5">
    <tableColumn id="1" xr3:uid="{C12D55B2-2ADC-43C9-AD68-DE6789EFD4F2}" name="Pets" totalsRowLabel="Total" totalsRowDxfId="1147"/>
    <tableColumn id="2" xr3:uid="{D5F1541A-5B9B-4BA3-A020-1D4756EA43D8}" name="Budgeted_x000a_cost" totalsRowFunction="sum" totalsRowDxfId="1146"/>
    <tableColumn id="3" xr3:uid="{8CE300FD-55B5-40E2-ACED-DBCD0C3841FB}" name="Actual_x000a_cost" totalsRowFunction="sum" totalsRowDxfId="1145"/>
    <tableColumn id="5" xr3:uid="{772F69A4-5C30-4594-856C-03826D8D42F2}" name="Date due" dataDxfId="1143" totalsRowDxfId="1144" dataCellStyle="Amounts"/>
    <tableColumn id="4" xr3:uid="{A2FF170F-ADD7-4BB1-9A2A-3B123548713E}" name="Difference" totalsRowFunction="sum" totalsRowDxfId="1142">
      <calculatedColumnFormula>Pets97[[#This Row],[Budgeted
cost]]-Pets97[[#This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6B02EFC7-68E6-4B74-96A1-94905DCF91D4}" name="Children98" displayName="Children98" ref="B43:F54" totalsRowCount="1" headerRowBorderDxfId="1141">
  <autoFilter ref="B43:F53" xr:uid="{00000000-000C-0000-FFFF-FFFF04000000}"/>
  <tableColumns count="5">
    <tableColumn id="1" xr3:uid="{CE122B32-192A-4652-93E4-09AFF1E626F1}" name="Children" totalsRowLabel="Total" totalsRowDxfId="1140"/>
    <tableColumn id="2" xr3:uid="{F772694E-C119-4CBF-A965-F638A28F7ADE}" name="Budgeted_x000a_cost" totalsRowFunction="sum" totalsRowDxfId="1139"/>
    <tableColumn id="3" xr3:uid="{2C762348-9C56-4286-A99B-135E8D7C587B}" name="Actual_x000a_cost" totalsRowFunction="sum" totalsRowDxfId="1138"/>
    <tableColumn id="5" xr3:uid="{75FADE5C-B9F8-45EA-BB40-5650A582285E}" name="Date due" dataDxfId="1136" totalsRowDxfId="1137" dataCellStyle="Amounts"/>
    <tableColumn id="4" xr3:uid="{2DA536EF-95ED-4A35-9572-77CCB2EAEAA3}" name="Difference" totalsRowFunction="sum" totalsRowDxfId="1135">
      <calculatedColumnFormula>Children98[[#This Row],[Budgeted
cost]]-Children98[[#This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1402C155-4896-4FAC-90D1-5A55A51D62E0}" name="Food99" displayName="Food99" ref="B35:F41" totalsRowCount="1" headerRowBorderDxfId="1134">
  <autoFilter ref="B35:F40" xr:uid="{00000000-000C-0000-FFFF-FFFF03000000}"/>
  <tableColumns count="5">
    <tableColumn id="1" xr3:uid="{D3B398F3-257E-4E67-B279-D13B8C5532F2}" name="Food" totalsRowLabel="Total" totalsRowDxfId="1133"/>
    <tableColumn id="2" xr3:uid="{AA224221-111C-4F44-8B59-0FFD1EC4B93E}" name="Budgeted_x000a_cost" totalsRowFunction="sum" totalsRowDxfId="1132"/>
    <tableColumn id="3" xr3:uid="{D1364A36-A935-47E5-B056-773F39BAE3E5}" name="Actual_x000a_cost" totalsRowFunction="sum" totalsRowDxfId="1131"/>
    <tableColumn id="6" xr3:uid="{50C55B9F-02D6-4BF7-AE36-A2237522DC21}" name="Date due" dataDxfId="1129" totalsRowDxfId="1130" dataCellStyle="Amounts"/>
    <tableColumn id="4" xr3:uid="{9DE474A8-8BD9-4A73-9D19-C45EBF7D5B90}" name="Difference" totalsRowFunction="sum" totalsRowDxfId="1128">
      <calculatedColumnFormula>Food99[[#This Row],[Budgeted
cost]]-Food99[[#This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8706BAE8-D1D3-42CC-B73F-92A39237E54E}" name="Insurance100" displayName="Insurance100" ref="B27:F33" totalsRowCount="1" headerRowBorderDxfId="1127">
  <autoFilter ref="B27:F32" xr:uid="{00000000-000C-0000-FFFF-FFFF02000000}"/>
  <tableColumns count="5">
    <tableColumn id="1" xr3:uid="{4572EBA4-6ECB-4B66-A0F2-FD5DDE8D1730}" name="Insurance" totalsRowLabel="Total" totalsRowDxfId="1126"/>
    <tableColumn id="2" xr3:uid="{700CF66B-EF2C-46B0-B79C-8DBA205F476F}" name="Budgeted_x000a_cost" totalsRowFunction="sum" totalsRowDxfId="1125"/>
    <tableColumn id="3" xr3:uid="{5DA2C963-362B-481C-BC98-1146B3029403}" name="Actual_x000a_cost" totalsRowFunction="sum" totalsRowDxfId="1124"/>
    <tableColumn id="5" xr3:uid="{F1856110-EB22-4B54-8FA2-DE7535D609B9}" name="Date due" dataDxfId="1122" totalsRowDxfId="1123" dataCellStyle="Amounts"/>
    <tableColumn id="4" xr3:uid="{9B022CF2-931E-4E43-B045-AA92DF1F6F97}" name="Difference" totalsRowFunction="sum" totalsRowDxfId="1121">
      <calculatedColumnFormula>Insurance100[[#This Row],[Budgeted
cost]]-Insurance100[[#This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DDD07EB9-3DD1-4620-AD5D-E2113569DC8D}" name="Transportation101" displayName="Transportation101" ref="B15:F25" totalsRowCount="1" headerRowBorderDxfId="1120">
  <autoFilter ref="B15:F24" xr:uid="{00000000-000C-0000-FFFF-FFFF01000000}"/>
  <tableColumns count="5">
    <tableColumn id="1" xr3:uid="{D63690B7-9F2C-4C74-86CB-82DE8CC9EA23}" name="Transportation" totalsRowLabel="Total" totalsRowDxfId="1119"/>
    <tableColumn id="2" xr3:uid="{7CD2188D-18CF-42AD-A2F0-C9C576C54B1A}" name="Budgeted_x000a_cost" totalsRowFunction="sum" totalsRowDxfId="1118"/>
    <tableColumn id="3" xr3:uid="{86C136CA-6BE0-45E5-B12E-A1EB362EC011}" name="Actual_x000a_cost" totalsRowFunction="sum" totalsRowDxfId="1117"/>
    <tableColumn id="6" xr3:uid="{9666AD0D-C107-45E1-ADC5-C09EF36FE2C4}" name="Date due" dataDxfId="1115" totalsRowDxfId="1116" dataCellStyle="Amounts"/>
    <tableColumn id="4" xr3:uid="{6ADD13FA-1A16-4908-9B1C-39E3F43A3880}" name="Difference" totalsRowFunction="sum" totalsRowDxfId="1114">
      <calculatedColumnFormula>Transportation101[[#This Row],[Budgeted
cost]]-Transportation101[[#This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C093129F-0D69-4786-8E62-705BE08476A5}" name="Housing102" displayName="Housing102" ref="B2:F13" totalsRowCount="1" headerRowDxfId="1113" dataDxfId="1112" totalsRowDxfId="1111" headerRowBorderDxfId="1109" tableBorderDxfId="1110" dataCellStyle="Amounts">
  <autoFilter ref="B2:F12" xr:uid="{00000000-000C-0000-FFFF-FFFF00000000}"/>
  <tableColumns count="5">
    <tableColumn id="1" xr3:uid="{EC6AC349-5A4E-4692-AB18-768FAAF964DB}" name="Housing" totalsRowLabel="Total" dataDxfId="1107" totalsRowDxfId="1108"/>
    <tableColumn id="2" xr3:uid="{4E16BD95-7190-4DF6-9E61-0F97273506A0}" name="Budgeted_x000a_cost" totalsRowFunction="sum" dataDxfId="1105" totalsRowDxfId="1106" dataCellStyle="Amounts"/>
    <tableColumn id="3" xr3:uid="{AFF7575A-518F-43D0-A744-A54BFA65D01E}" name="Actual_x000a_cost" totalsRowFunction="sum" dataDxfId="1103" totalsRowDxfId="1104" dataCellStyle="Amounts"/>
    <tableColumn id="5" xr3:uid="{41B0F0C2-CFFF-49AE-A3A0-D262C415D273}" name="Date due" dataDxfId="1102" dataCellStyle="Amounts"/>
    <tableColumn id="4" xr3:uid="{7DEC6E06-8A8C-49E0-B990-CA48D9937AEE}" name="Difference" totalsRowFunction="sum" dataDxfId="1100" totalsRowDxfId="1101" dataCellStyle="Amounts">
      <calculatedColumnFormula>Housing102[[#This Row],[Budgeted
cost]]-Housing102[[#This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Legal" displayName="Legal" ref="B56:F62" totalsRowCount="1" headerRowBorderDxfId="1307">
  <autoFilter ref="B56:F61" xr:uid="{00000000-000C-0000-FFFF-FFFF0C000000}"/>
  <tableColumns count="5">
    <tableColumn id="1" xr3:uid="{00000000-0010-0000-0C00-000001000000}" name="Legal" totalsRowLabel="Total" totalsRowDxfId="1306"/>
    <tableColumn id="2" xr3:uid="{00000000-0010-0000-0C00-000002000000}" name="Budgeted_x000a_cost" totalsRowFunction="sum" totalsRowDxfId="1305"/>
    <tableColumn id="3" xr3:uid="{00000000-0010-0000-0C00-000003000000}" name="Actual_x000a_cost" totalsRowFunction="sum" totalsRowDxfId="1304"/>
    <tableColumn id="5" xr3:uid="{77C0D68C-AB43-46AE-86C4-1416E9F86476}" name="Date due" dataDxfId="1302" totalsRowDxfId="1303" dataCellStyle="Amounts"/>
    <tableColumn id="4" xr3:uid="{00000000-0010-0000-0C00-000004000000}" name="Difference" totalsRowFunction="sum" totalsRowDxfId="1301">
      <calculatedColumnFormula>Legal[[#This Row],[Budgeted
cost]]-Legal[[#This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69DC0022-54D0-4F8D-A478-09FA853FC761}" name="Summary79" displayName="Summary79" ref="B2:E3" totalsRowShown="0" headerRowDxfId="1096" dataDxfId="1095" tableBorderDxfId="1094" headerRowCellStyle="Heading 1">
  <autoFilter ref="B2:E3" xr:uid="{00000000-0009-0000-0100-00000E000000}">
    <filterColumn colId="0" hiddenButton="1"/>
    <filterColumn colId="1" hiddenButton="1"/>
    <filterColumn colId="2" hiddenButton="1"/>
    <filterColumn colId="3" hiddenButton="1"/>
  </autoFilter>
  <tableColumns count="4">
    <tableColumn id="1" xr3:uid="{3113F6EF-0C83-4C32-B290-559A573CF2F9}" name="Summary " dataDxfId="1093" dataCellStyle="Bottom border"/>
    <tableColumn id="2" xr3:uid="{D85FB37D-AB4D-42A6-9AE3-A07280A4D3C7}" name="Total_x000a_budgeted cost" dataDxfId="1092" dataCellStyle="Bottom border">
      <calculatedColumnFormula>C19</calculatedColumnFormula>
    </tableColumn>
    <tableColumn id="3" xr3:uid="{4CAC7A46-DD05-4782-BB01-693606CEBD14}" name="Total_x000a_actual cost" dataDxfId="1091" dataCellStyle="Bottom border">
      <calculatedColumnFormula>D19</calculatedColumnFormula>
    </tableColumn>
    <tableColumn id="4" xr3:uid="{067956FB-5C72-4924-B351-EA3EA0EB69C2}" name="Total_x000a_difference" dataDxfId="1090" dataCellStyle="Bottom border">
      <calculatedColumnFormula>SUM(C3-D3)</calculatedColumnFormula>
    </tableColumn>
  </tableColumns>
  <tableStyleInfo name="ActualMonthlyIncome" showFirstColumn="0" showLastColumn="0" showRowStripes="1" showColumnStripes="0"/>
  <extLst>
    <ext xmlns:x14="http://schemas.microsoft.com/office/spreadsheetml/2009/9/main" uri="{504A1905-F514-4f6f-8877-14C23A59335A}">
      <x14:table altTextSummary="Total Projected and Actual Costs, and Total Difference are auto calculated in this summary table"/>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C0F05DA7-A554-4AC7-B1CE-FEB88DDC3F10}" name="Legal90103" displayName="Legal90103" ref="B56:F62" totalsRowCount="1" headerRowBorderDxfId="1087">
  <autoFilter ref="B56:F61" xr:uid="{00000000-000C-0000-FFFF-FFFF0C000000}"/>
  <tableColumns count="5">
    <tableColumn id="1" xr3:uid="{1891A4D9-D617-4337-A7C2-05FD604CAD20}" name="Legal" totalsRowLabel="Total" totalsRowDxfId="1086"/>
    <tableColumn id="2" xr3:uid="{68C9E5F9-6152-40DF-9596-C2AE39FB226D}" name="Budgeted_x000a_cost" totalsRowFunction="sum" totalsRowDxfId="1085"/>
    <tableColumn id="3" xr3:uid="{FCFCB6A8-6F7C-4D9E-88AF-A327633F0700}" name="Actual_x000a_cost" totalsRowFunction="sum" totalsRowDxfId="1084"/>
    <tableColumn id="5" xr3:uid="{1FC7290E-66A5-4FA8-BB2A-4E4D4C38B3AA}" name="Date due" dataDxfId="1082" totalsRowDxfId="1083" dataCellStyle="Amounts"/>
    <tableColumn id="4" xr3:uid="{206176EA-F0DF-4200-A697-C111104E9949}" name="Difference" totalsRowFunction="sum" totalsRowDxfId="1081">
      <calculatedColumnFormula>Legal90103[[#This Row],[Budgeted
cost]]-Legal90103[[#This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E4C41490-C33C-43AB-8A38-DF0FD102FEBF}" name="Gifts91104" displayName="Gifts91104" ref="H56:L60" totalsRowCount="1" headerRowBorderDxfId="1080">
  <autoFilter ref="H56:L59" xr:uid="{00000000-000C-0000-FFFF-FFFF0B000000}"/>
  <tableColumns count="5">
    <tableColumn id="1" xr3:uid="{C319F4B0-B994-46E5-B567-BCE852319263}" name="Gifts and donations" totalsRowLabel="Total" totalsRowDxfId="1079"/>
    <tableColumn id="2" xr3:uid="{EB4B4F4A-AA62-4111-89E4-795F3148DAF9}" name="Budgeted_x000a_cost" totalsRowFunction="sum" totalsRowDxfId="1078"/>
    <tableColumn id="3" xr3:uid="{9639848D-501E-4AB1-8BD5-F84A50172264}" name="Actual_x000a_cost" totalsRowFunction="sum" totalsRowDxfId="1077"/>
    <tableColumn id="5" xr3:uid="{802255D7-C45B-4290-A361-7B63E83EA8E3}" name="Date due" dataDxfId="1075" totalsRowDxfId="1076" dataCellStyle="Amounts"/>
    <tableColumn id="4" xr3:uid="{411F1853-F685-41EE-AE55-AEE212D0E181}" name="Difference" totalsRowFunction="sum" totalsRowDxfId="1074">
      <calculatedColumnFormula>Gifts91104[[#This Row],[Budgeted
cost]]-Gifts91104[[#This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4E1E0E09-2020-4B54-A51F-AE8A2FC75092}" name="Savings92105" displayName="Savings92105" ref="H2:L10" totalsRowCount="1" headerRowBorderDxfId="1073">
  <autoFilter ref="H2:L9" xr:uid="{00000000-000C-0000-FFFF-FFFF0A000000}"/>
  <tableColumns count="5">
    <tableColumn id="1" xr3:uid="{2A099941-1BDE-4F77-BBD4-1147C98F59C1}" name="Savings/investments" totalsRowLabel="Total" totalsRowDxfId="1072"/>
    <tableColumn id="2" xr3:uid="{DE4EC22E-6CD5-47E2-AC74-D23277A04D2A}" name="Budgeted_x000a_cost" totalsRowFunction="sum" totalsRowDxfId="1071"/>
    <tableColumn id="3" xr3:uid="{25A94D5A-E56B-4EDF-980C-C649C0F41C84}" name="Actual_x000a_cost" totalsRowFunction="sum" totalsRowDxfId="1070"/>
    <tableColumn id="5" xr3:uid="{52797C65-3590-49AA-8D32-478288F5D5C8}" name="Date due" dataDxfId="1068" totalsRowDxfId="1069" dataCellStyle="Amounts"/>
    <tableColumn id="4" xr3:uid="{467DE26B-BB9B-4762-A601-E0DD074364DA}" name="Difference" totalsRowFunction="sum" totalsRowDxfId="1067">
      <calculatedColumnFormula>Savings92105[[#This Row],[Budgeted
cost]]-Savings92105[[#This Row],[Actual
cost]]</calculatedColumnFormula>
    </tableColumn>
  </tableColumns>
  <tableStyleInfo name="Monthly Family Budget" showFirstColumn="1"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82689C54-7F8F-4CFA-BD96-EDB9A7C2F323}" name="Taxes93106" displayName="Taxes93106" ref="H35:L40" totalsRowCount="1" headerRowBorderDxfId="1066">
  <autoFilter ref="H35:L39" xr:uid="{00000000-000C-0000-FFFF-FFFF09000000}"/>
  <tableColumns count="5">
    <tableColumn id="1" xr3:uid="{27150E3D-11BE-42D7-94D6-77F85EA3C398}" name="Taxes" totalsRowLabel="Total" totalsRowDxfId="1065"/>
    <tableColumn id="2" xr3:uid="{F2E3415B-BF5B-4973-8BEB-12026FA1B366}" name="Budgeted _x000a_cost" totalsRowFunction="sum" totalsRowDxfId="1064"/>
    <tableColumn id="3" xr3:uid="{B22B935E-CDE1-44F3-89DF-124D13583692}" name="Actual _x000a_cost" totalsRowFunction="sum" totalsRowDxfId="1063"/>
    <tableColumn id="5" xr3:uid="{983DAE13-55B2-4635-AF64-7467D5B0B50B}" name="Date due" dataDxfId="1061" totalsRowDxfId="1062" dataCellStyle="Amounts"/>
    <tableColumn id="4" xr3:uid="{DC6277D7-7379-4A97-94E6-53E5C93158B6}" name="Difference" totalsRowFunction="sum" totalsRowDxfId="1060">
      <calculatedColumnFormula>Taxes93106[[#This Row],[Budgeted 
cost]]-Taxes93106[[#This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58DB49E-23C0-41E3-BBA4-5A19822F9A77}" name="Loans94107" displayName="Loans94107" ref="H43:L51" totalsRowCount="1" headerRowBorderDxfId="1059">
  <autoFilter ref="H43:L50" xr:uid="{00000000-000C-0000-FFFF-FFFF08000000}"/>
  <tableColumns count="5">
    <tableColumn id="1" xr3:uid="{64AB0A50-264F-4EA5-B66D-71E65E1EC520}" name="Loans" totalsRowLabel="Total" totalsRowDxfId="1058"/>
    <tableColumn id="2" xr3:uid="{C4124217-A5B0-4F4C-8C06-6958030691A8}" name="Budgeted_x000a_cost" totalsRowFunction="sum" totalsRowDxfId="1057"/>
    <tableColumn id="3" xr3:uid="{74825D35-8F55-488A-99BD-7DC247E0E207}" name="Actual_x000a_cost" totalsRowFunction="sum" totalsRowDxfId="1056"/>
    <tableColumn id="5" xr3:uid="{516F0B41-DA13-44D7-A9FF-C8ED5DC07026}" name="Date due" dataDxfId="1054" totalsRowDxfId="1055" dataCellStyle="Amounts"/>
    <tableColumn id="4" xr3:uid="{DDCF6260-9CA5-4D69-8C35-F2FF53805F06}" name="Difference" totalsRowFunction="sum" totalsRowDxfId="1053">
      <calculatedColumnFormula>Loans94107[[#This Row],[Budgeted
cost]]-Loans94107[[#This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AE3ADF81-940C-42F6-9E12-76D032A53379}" name="Entertainment95108" displayName="Entertainment95108" ref="B64:F72" totalsRowCount="1" headerRowBorderDxfId="1052">
  <autoFilter ref="B64:F71" xr:uid="{00000000-000C-0000-FFFF-FFFF07000000}"/>
  <tableColumns count="5">
    <tableColumn id="1" xr3:uid="{B9ADF883-745C-40BA-BFBB-117BCD6017FF}" name="Entertainment" totalsRowLabel="Total" totalsRowDxfId="1051"/>
    <tableColumn id="2" xr3:uid="{C3FAFDB1-13AC-429B-98DA-62CB639C93A2}" name="Budgeted_x000a_cost" totalsRowFunction="sum" totalsRowDxfId="1050"/>
    <tableColumn id="3" xr3:uid="{D8362DC9-1E21-4029-A05E-3B8012D883BA}" name="Actual_x000a_cost" totalsRowFunction="sum" totalsRowDxfId="1049"/>
    <tableColumn id="5" xr3:uid="{132189BB-AFB2-4C4E-B2DD-DD200ADA97E1}" name="Date due" dataDxfId="1047" totalsRowDxfId="1048" dataCellStyle="Amounts"/>
    <tableColumn id="4" xr3:uid="{0F817F2C-2C5D-4D44-869B-185DD83D5E3E}" name="Difference" totalsRowFunction="sum" totalsRowDxfId="1046">
      <calculatedColumnFormula>Entertainment95108[[#This Row],[Budgeted
cost]]-Entertainment95108[[#This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DA93BA49-9A1C-42BD-9CD0-9A70D9446B72}" name="PersonalCare96109" displayName="PersonalCare96109" ref="H15:L24" totalsRowCount="1" headerRowBorderDxfId="1045">
  <autoFilter ref="H15:L23" xr:uid="{00000000-000C-0000-FFFF-FFFF06000000}"/>
  <tableColumns count="5">
    <tableColumn id="1" xr3:uid="{5DA0B9BE-7AD3-4D9D-9224-A02C17FC095D}" name="Personal care" totalsRowLabel="Total" totalsRowDxfId="1044"/>
    <tableColumn id="2" xr3:uid="{35106D5E-7B40-433E-A7A4-A7923105D560}" name="Budgeted_x000a_cost" totalsRowFunction="sum" totalsRowDxfId="1043"/>
    <tableColumn id="3" xr3:uid="{DD80DD55-05A0-4CB0-AE4B-D7F9E9A5888E}" name="Actual_x000a_cost" totalsRowFunction="sum" totalsRowDxfId="1042"/>
    <tableColumn id="5" xr3:uid="{45C04753-AC0D-4BE6-B522-AF4C119F3AB9}" name="Date due" dataDxfId="1040" totalsRowDxfId="1041" dataCellStyle="Amounts"/>
    <tableColumn id="4" xr3:uid="{B4FA4442-030C-443B-B290-030D376A9AC5}" name="Difference" totalsRowFunction="sum" totalsRowDxfId="1039">
      <calculatedColumnFormula>PersonalCare96109[[#This Row],[Budgeted
cost]]-PersonalCare96109[[#This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C11371B1-732D-4FCE-B087-800419C89985}" name="Pets97110" displayName="Pets97110" ref="H27:L33" totalsRowCount="1" headerRowBorderDxfId="1038">
  <autoFilter ref="H27:L32" xr:uid="{00000000-000C-0000-FFFF-FFFF05000000}"/>
  <tableColumns count="5">
    <tableColumn id="1" xr3:uid="{823FDF76-9FDD-48E7-A597-2AD6EC29F17A}" name="Pets" totalsRowLabel="Total" totalsRowDxfId="1037"/>
    <tableColumn id="2" xr3:uid="{001F8B5B-42FE-4D49-8298-FA69D34E9992}" name="Budgeted_x000a_cost" totalsRowFunction="sum" totalsRowDxfId="1036"/>
    <tableColumn id="3" xr3:uid="{8FBA03ED-E244-40F8-A7AC-7785A176A0D9}" name="Actual_x000a_cost" totalsRowFunction="sum" totalsRowDxfId="1035"/>
    <tableColumn id="5" xr3:uid="{85F26C57-C06D-4930-BEBD-6ED9A9F6AD50}" name="Date due" dataDxfId="1033" totalsRowDxfId="1034" dataCellStyle="Amounts"/>
    <tableColumn id="4" xr3:uid="{46ACC110-9E46-40C7-8813-12F0491D2123}" name="Difference" totalsRowFunction="sum" totalsRowDxfId="1032">
      <calculatedColumnFormula>Pets97110[[#This Row],[Budgeted
cost]]-Pets97110[[#This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DF634820-C94E-4310-A0DA-1AA0645C392B}" name="Children98111" displayName="Children98111" ref="B43:F54" totalsRowCount="1" headerRowBorderDxfId="1031">
  <autoFilter ref="B43:F53" xr:uid="{00000000-000C-0000-FFFF-FFFF04000000}"/>
  <tableColumns count="5">
    <tableColumn id="1" xr3:uid="{D0BEFCB8-07D6-4B2B-9627-51AFD2A9B572}" name="Children" totalsRowLabel="Total" totalsRowDxfId="1030"/>
    <tableColumn id="2" xr3:uid="{40DE2301-C66B-43F6-A8EE-025007CD9BB0}" name="Budgeted_x000a_cost" totalsRowFunction="sum" totalsRowDxfId="1029"/>
    <tableColumn id="3" xr3:uid="{D224E3DF-0F61-4C68-9FA8-05BE411AED5D}" name="Actual_x000a_cost" totalsRowFunction="sum" totalsRowDxfId="1028"/>
    <tableColumn id="5" xr3:uid="{F1E8B449-FE56-4E92-B838-ACDDE7B8835E}" name="Date due" dataDxfId="1026" totalsRowDxfId="1027" dataCellStyle="Amounts"/>
    <tableColumn id="4" xr3:uid="{1F83D495-68D8-4987-8BE9-C5756C5B91AB}" name="Difference" totalsRowFunction="sum" totalsRowDxfId="1025">
      <calculatedColumnFormula>Children98111[[#This Row],[Budgeted
cost]]-Children98111[[#This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Gifts" displayName="Gifts" ref="H56:L60" totalsRowCount="1" headerRowBorderDxfId="1300">
  <autoFilter ref="H56:L59" xr:uid="{00000000-000C-0000-FFFF-FFFF0B000000}"/>
  <tableColumns count="5">
    <tableColumn id="1" xr3:uid="{00000000-0010-0000-0B00-000001000000}" name="Gifts and donations" totalsRowLabel="Total" totalsRowDxfId="1299"/>
    <tableColumn id="2" xr3:uid="{00000000-0010-0000-0B00-000002000000}" name="Budgeted_x000a_cost" totalsRowFunction="sum" totalsRowDxfId="1298"/>
    <tableColumn id="3" xr3:uid="{00000000-0010-0000-0B00-000003000000}" name="Actual_x000a_cost" totalsRowFunction="sum" totalsRowDxfId="1297"/>
    <tableColumn id="5" xr3:uid="{446AE642-7877-4855-9713-7F70A9B0A058}" name="Date due" dataDxfId="1295" totalsRowDxfId="1296" dataCellStyle="Amounts"/>
    <tableColumn id="4" xr3:uid="{00000000-0010-0000-0B00-000004000000}" name="Difference" totalsRowFunction="sum" totalsRowDxfId="1294">
      <calculatedColumnFormula>Gifts[[#This Row],[Budgeted
cost]]-Gifts[[#This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1F3D8B3C-A442-48E0-807D-BAF0E00E2FB5}" name="Food99112" displayName="Food99112" ref="B35:F41" totalsRowCount="1" headerRowBorderDxfId="1024">
  <autoFilter ref="B35:F40" xr:uid="{00000000-000C-0000-FFFF-FFFF03000000}"/>
  <tableColumns count="5">
    <tableColumn id="1" xr3:uid="{A504A2AF-F104-4902-953C-8461CC274FF4}" name="Food" totalsRowLabel="Total" totalsRowDxfId="1023"/>
    <tableColumn id="2" xr3:uid="{865E74A1-FB2B-4EE2-837C-22293920BA93}" name="Budgeted_x000a_cost" totalsRowFunction="sum" totalsRowDxfId="1022"/>
    <tableColumn id="3" xr3:uid="{02F59620-F180-4428-8969-BDF336973239}" name="Actual_x000a_cost" totalsRowFunction="sum" totalsRowDxfId="1021"/>
    <tableColumn id="6" xr3:uid="{8DA98395-90C3-424A-AB7E-7BF512616014}" name="Date due" dataDxfId="1019" totalsRowDxfId="1020" dataCellStyle="Amounts"/>
    <tableColumn id="4" xr3:uid="{72C8D505-CF19-446E-A84A-E3306C780E53}" name="Difference" totalsRowFunction="sum" totalsRowDxfId="1018">
      <calculatedColumnFormula>Food99112[[#This Row],[Budgeted
cost]]-Food99112[[#This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92A62F65-08D8-48D8-8198-BBB9A57858E2}" name="Insurance100113" displayName="Insurance100113" ref="B27:F33" totalsRowCount="1" headerRowBorderDxfId="1017">
  <autoFilter ref="B27:F32" xr:uid="{00000000-000C-0000-FFFF-FFFF02000000}"/>
  <tableColumns count="5">
    <tableColumn id="1" xr3:uid="{E40D3CE5-F281-4BF1-BBA3-23B24F8CDFF8}" name="Insurance" totalsRowLabel="Total" totalsRowDxfId="1016"/>
    <tableColumn id="2" xr3:uid="{048F82AA-5B1F-48C5-B387-9F98834761C7}" name="Budgeted_x000a_cost" totalsRowFunction="sum" totalsRowDxfId="1015"/>
    <tableColumn id="3" xr3:uid="{AB8FB6AF-997B-4F44-9138-616EC238A249}" name="Actual_x000a_cost" totalsRowFunction="sum" totalsRowDxfId="1014"/>
    <tableColumn id="5" xr3:uid="{602D1753-A5D0-4766-8392-DA509548B8A7}" name="Date due" dataDxfId="1012" totalsRowDxfId="1013" dataCellStyle="Amounts"/>
    <tableColumn id="4" xr3:uid="{A4139F55-3612-4217-A791-FE1F01DCE2BA}" name="Difference" totalsRowFunction="sum" totalsRowDxfId="1011">
      <calculatedColumnFormula>Insurance100113[[#This Row],[Budgeted
cost]]-Insurance100113[[#This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851E7F44-576E-41E5-A31E-F58131076CA7}" name="Transportation101114" displayName="Transportation101114" ref="B15:F25" totalsRowCount="1" headerRowBorderDxfId="1010">
  <autoFilter ref="B15:F24" xr:uid="{00000000-000C-0000-FFFF-FFFF01000000}"/>
  <tableColumns count="5">
    <tableColumn id="1" xr3:uid="{C452D61A-3C03-40A9-A5A3-FD3AB925940A}" name="Transportation" totalsRowLabel="Total" totalsRowDxfId="1009"/>
    <tableColumn id="2" xr3:uid="{F3AA6174-9454-4CA8-A45D-040B5ED1B650}" name="Budgeted_x000a_cost" totalsRowFunction="sum" totalsRowDxfId="1008"/>
    <tableColumn id="3" xr3:uid="{3A966B5A-66E6-41DA-A251-11118033B15F}" name="Actual_x000a_cost" totalsRowFunction="sum" totalsRowDxfId="1007"/>
    <tableColumn id="6" xr3:uid="{CADAAF46-AA93-4BD1-8D56-B60B70E30295}" name="Date due" dataDxfId="1005" totalsRowDxfId="1006" dataCellStyle="Amounts"/>
    <tableColumn id="4" xr3:uid="{2C7F94D9-1D61-47EE-90DB-925009AFB068}" name="Difference" totalsRowFunction="sum" totalsRowDxfId="1004">
      <calculatedColumnFormula>Transportation101114[[#This Row],[Budgeted
cost]]-Transportation101114[[#This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1C185A48-B485-4F20-BB77-9951156142EC}" name="Housing102115" displayName="Housing102115" ref="B2:F13" totalsRowCount="1" headerRowDxfId="1003" dataDxfId="1002" totalsRowDxfId="1001" headerRowBorderDxfId="999" tableBorderDxfId="1000" dataCellStyle="Amounts">
  <autoFilter ref="B2:F12" xr:uid="{00000000-000C-0000-FFFF-FFFF00000000}"/>
  <tableColumns count="5">
    <tableColumn id="1" xr3:uid="{20EC6725-182C-45B1-B462-DC732C05E9CC}" name="Housing" totalsRowLabel="Total" dataDxfId="997" totalsRowDxfId="998"/>
    <tableColumn id="2" xr3:uid="{4CE48066-B73B-4E30-A487-A24E524A6093}" name="Budgeted_x000a_cost" totalsRowFunction="sum" dataDxfId="995" totalsRowDxfId="996" dataCellStyle="Amounts"/>
    <tableColumn id="3" xr3:uid="{27A684F7-C57C-4A64-9F9C-77BF2CAC8FC7}" name="Actual_x000a_cost" totalsRowFunction="sum" dataDxfId="993" totalsRowDxfId="994" dataCellStyle="Amounts"/>
    <tableColumn id="5" xr3:uid="{33972576-2832-4D15-A2CE-C44DEAAD8378}" name="Date due" dataDxfId="992" dataCellStyle="Amounts"/>
    <tableColumn id="4" xr3:uid="{F5CA1004-3EBB-411F-B387-DC657B4ADAA6}" name="Difference" totalsRowFunction="sum" dataDxfId="990" totalsRowDxfId="991" dataCellStyle="Amounts">
      <calculatedColumnFormula>Housing102115[[#This Row],[Budgeted
cost]]-Housing102115[[#This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90DBD32E-9FBC-4A77-899B-65FCA7EF3445}" name="Summary7980" displayName="Summary7980" ref="B2:E3" totalsRowShown="0" headerRowDxfId="986" dataDxfId="985" tableBorderDxfId="984" headerRowCellStyle="Heading 1">
  <autoFilter ref="B2:E3" xr:uid="{00000000-0009-0000-0100-00000E000000}">
    <filterColumn colId="0" hiddenButton="1"/>
    <filterColumn colId="1" hiddenButton="1"/>
    <filterColumn colId="2" hiddenButton="1"/>
    <filterColumn colId="3" hiddenButton="1"/>
  </autoFilter>
  <tableColumns count="4">
    <tableColumn id="1" xr3:uid="{58B9AD97-8836-4CC8-89A3-7E557A71D9A7}" name="Summary " dataDxfId="983" dataCellStyle="Bottom border"/>
    <tableColumn id="2" xr3:uid="{4A666384-33CC-4D29-8D81-4BFD6B3D6C62}" name="Total_x000a_budgeted cost" dataDxfId="982" dataCellStyle="Bottom border">
      <calculatedColumnFormula>C19</calculatedColumnFormula>
    </tableColumn>
    <tableColumn id="3" xr3:uid="{DF6A0A00-EE50-4067-A88D-FFACF012800A}" name="Total_x000a_actual cost" dataDxfId="981" dataCellStyle="Bottom border">
      <calculatedColumnFormula>D19</calculatedColumnFormula>
    </tableColumn>
    <tableColumn id="4" xr3:uid="{13C8E52B-66E4-4497-8FCB-D8A82CC6E609}" name="Total_x000a_difference" dataDxfId="980" dataCellStyle="Bottom border">
      <calculatedColumnFormula>SUM(C3-D3)</calculatedColumnFormula>
    </tableColumn>
  </tableColumns>
  <tableStyleInfo name="ActualMonthlyIncome" showFirstColumn="0" showLastColumn="0" showRowStripes="1" showColumnStripes="0"/>
  <extLst>
    <ext xmlns:x14="http://schemas.microsoft.com/office/spreadsheetml/2009/9/main" uri="{504A1905-F514-4f6f-8877-14C23A59335A}">
      <x14:table altTextSummary="Total Projected and Actual Costs, and Total Difference are auto calculated in this summary table"/>
    </ext>
  </extLst>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3AF79929-46E4-4A31-93E8-19FDFA73971A}" name="Legal90103116" displayName="Legal90103116" ref="B56:F62" totalsRowCount="1" headerRowBorderDxfId="977">
  <autoFilter ref="B56:F61" xr:uid="{00000000-000C-0000-FFFF-FFFF0C000000}"/>
  <tableColumns count="5">
    <tableColumn id="1" xr3:uid="{D84F3406-1C8F-4424-AD1C-04AD204D5DF6}" name="Legal" totalsRowLabel="Total" totalsRowDxfId="976"/>
    <tableColumn id="2" xr3:uid="{1136B63F-65B7-480B-81D9-79BB29B84196}" name="Budgeted_x000a_cost" totalsRowFunction="sum" totalsRowDxfId="975"/>
    <tableColumn id="3" xr3:uid="{35950A02-D51D-4D8F-A279-A8997B8434C3}" name="Actual_x000a_cost" totalsRowFunction="sum" totalsRowDxfId="974"/>
    <tableColumn id="5" xr3:uid="{B45CA8A0-B760-456A-BD50-21C343C586BA}" name="Date due" dataDxfId="972" totalsRowDxfId="973" dataCellStyle="Amounts"/>
    <tableColumn id="4" xr3:uid="{D4DE55B2-5B8B-4A79-9C46-CF1BD857BA85}" name="Difference" totalsRowFunction="sum" totalsRowDxfId="971">
      <calculatedColumnFormula>Legal90103116[[#This Row],[Budgeted
cost]]-Legal90103116[[#This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1DA812A-6665-4084-A0D1-F9960EF3FF37}" name="Gifts91104117" displayName="Gifts91104117" ref="H56:L60" totalsRowCount="1" headerRowBorderDxfId="970">
  <autoFilter ref="H56:L59" xr:uid="{00000000-000C-0000-FFFF-FFFF0B000000}"/>
  <tableColumns count="5">
    <tableColumn id="1" xr3:uid="{89AB03E3-2BB0-4B73-80F9-2D93D67D6CDE}" name="Gifts and donations" totalsRowLabel="Total" totalsRowDxfId="969"/>
    <tableColumn id="2" xr3:uid="{336A05A4-C45C-4BF8-B8BF-7A0108E93CE2}" name="Budgeted_x000a_cost" totalsRowFunction="sum" totalsRowDxfId="968"/>
    <tableColumn id="3" xr3:uid="{ABEB21BD-99F0-4823-990C-10139C1CA1A3}" name="Actual_x000a_cost" totalsRowFunction="sum" totalsRowDxfId="967"/>
    <tableColumn id="5" xr3:uid="{C4BA7D1A-168D-41C7-809F-81587D3BAF6C}" name="Date due" dataDxfId="965" totalsRowDxfId="966" dataCellStyle="Amounts"/>
    <tableColumn id="4" xr3:uid="{D63DF46E-5FB7-4BE7-BE42-9083E66AF9CA}" name="Difference" totalsRowFunction="sum" totalsRowDxfId="964">
      <calculatedColumnFormula>Gifts91104117[[#This Row],[Budgeted
cost]]-Gifts91104117[[#This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A0E17D74-9A24-46C2-B7AC-CC3767DB7BD0}" name="Savings92105118" displayName="Savings92105118" ref="H2:L10" totalsRowCount="1" headerRowBorderDxfId="963">
  <autoFilter ref="H2:L9" xr:uid="{00000000-000C-0000-FFFF-FFFF0A000000}"/>
  <tableColumns count="5">
    <tableColumn id="1" xr3:uid="{6E172ACD-D92A-4FC6-9FC6-5937EE04407B}" name="Savings/investments" totalsRowLabel="Total" totalsRowDxfId="962"/>
    <tableColumn id="2" xr3:uid="{BC3BA0CD-9121-4D64-8719-B8A69423CCA0}" name="Budgeted_x000a_cost" totalsRowFunction="sum" totalsRowDxfId="961"/>
    <tableColumn id="3" xr3:uid="{E8151FFB-527F-4E1D-B3DE-37EA2CA6DC77}" name="Actual_x000a_cost" totalsRowFunction="sum" totalsRowDxfId="960"/>
    <tableColumn id="5" xr3:uid="{49DC739F-C6BC-4A49-9A25-7A3C947E4123}" name="Date due" dataDxfId="958" totalsRowDxfId="959" dataCellStyle="Amounts"/>
    <tableColumn id="4" xr3:uid="{95BC77D0-E431-475C-A11A-1141801CB666}" name="Difference" totalsRowFunction="sum" totalsRowDxfId="957">
      <calculatedColumnFormula>Savings92105118[[#This Row],[Budgeted
cost]]-Savings92105118[[#This Row],[Actual
cost]]</calculatedColumnFormula>
    </tableColumn>
  </tableColumns>
  <tableStyleInfo name="Monthly Family Budget" showFirstColumn="1"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6CDB44ED-9090-44B8-8F37-41BF381B42EC}" name="Taxes93106119" displayName="Taxes93106119" ref="H35:L40" totalsRowCount="1" headerRowBorderDxfId="956">
  <autoFilter ref="H35:L39" xr:uid="{00000000-000C-0000-FFFF-FFFF09000000}"/>
  <tableColumns count="5">
    <tableColumn id="1" xr3:uid="{D75FE187-4D21-4238-AD5D-0BEAFAFE72D6}" name="Taxes" totalsRowLabel="Total" totalsRowDxfId="955"/>
    <tableColumn id="2" xr3:uid="{739C3CBC-C23B-45D7-BD1F-4C30952F1C08}" name="Budgeted _x000a_cost" totalsRowFunction="sum" totalsRowDxfId="954"/>
    <tableColumn id="3" xr3:uid="{6A464E8B-73F0-4C94-99EA-97A7481681F8}" name="Actual _x000a_cost" totalsRowFunction="sum" totalsRowDxfId="953"/>
    <tableColumn id="5" xr3:uid="{8B2DCEB6-9A6F-4A2A-AC08-A5E3B2FDF281}" name="Date due" dataDxfId="951" totalsRowDxfId="952" dataCellStyle="Amounts"/>
    <tableColumn id="4" xr3:uid="{93696445-18DB-4B24-9443-4E53D3CCF148}" name="Difference" totalsRowFunction="sum" totalsRowDxfId="950">
      <calculatedColumnFormula>Taxes93106119[[#This Row],[Budgeted 
cost]]-Taxes93106119[[#This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5CC88DDD-8525-445D-9DD8-4C416E93EE8D}" name="Loans94107120" displayName="Loans94107120" ref="H43:L51" totalsRowCount="1" headerRowBorderDxfId="949">
  <autoFilter ref="H43:L50" xr:uid="{00000000-000C-0000-FFFF-FFFF08000000}"/>
  <tableColumns count="5">
    <tableColumn id="1" xr3:uid="{54F147E0-1851-43F2-81BB-30A4E9F0C638}" name="Loans" totalsRowLabel="Total" totalsRowDxfId="948"/>
    <tableColumn id="2" xr3:uid="{66DA37B7-C1BA-4A37-8CBD-136D4DED1912}" name="Budgeted_x000a_cost" totalsRowFunction="sum" totalsRowDxfId="947"/>
    <tableColumn id="3" xr3:uid="{D8933F3A-E501-4C26-87A2-FBAE4A3DE033}" name="Actual_x000a_cost" totalsRowFunction="sum" totalsRowDxfId="946"/>
    <tableColumn id="5" xr3:uid="{8EF6E57B-4B88-45D8-B033-B6A852DFEEAF}" name="Date due" dataDxfId="944" totalsRowDxfId="945" dataCellStyle="Amounts"/>
    <tableColumn id="4" xr3:uid="{881651BF-E4D3-4B05-8987-0B16D3AC3D03}" name="Difference" totalsRowFunction="sum" totalsRowDxfId="943">
      <calculatedColumnFormula>Loans94107120[[#This Row],[Budgeted
cost]]-Loans94107120[[#This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Savings" displayName="Savings" ref="H2:L10" totalsRowCount="1" headerRowBorderDxfId="1293">
  <autoFilter ref="H2:L9" xr:uid="{00000000-000C-0000-FFFF-FFFF0A000000}"/>
  <tableColumns count="5">
    <tableColumn id="1" xr3:uid="{00000000-0010-0000-0A00-000001000000}" name="Savings/investments" totalsRowLabel="Total" totalsRowDxfId="1292"/>
    <tableColumn id="2" xr3:uid="{00000000-0010-0000-0A00-000002000000}" name="Budgeted_x000a_cost" totalsRowFunction="sum" totalsRowDxfId="1291"/>
    <tableColumn id="3" xr3:uid="{00000000-0010-0000-0A00-000003000000}" name="Actual_x000a_cost" totalsRowFunction="sum" totalsRowDxfId="1290"/>
    <tableColumn id="5" xr3:uid="{B3B0830D-3993-412C-A501-BE0802D409C4}" name="Date due" dataDxfId="1288" totalsRowDxfId="1289" dataCellStyle="Amounts"/>
    <tableColumn id="4" xr3:uid="{00000000-0010-0000-0A00-000004000000}" name="Difference" totalsRowFunction="sum" totalsRowDxfId="1287">
      <calculatedColumnFormula>Savings[[#This Row],[Budgeted
cost]]-Savings[[#This Row],[Actual
cost]]</calculatedColumnFormula>
    </tableColumn>
  </tableColumns>
  <tableStyleInfo name="Monthly Family Budget" showFirstColumn="1"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DCF1FBB6-B64A-4B8A-AF91-0625618ACE9C}" name="Entertainment95108121" displayName="Entertainment95108121" ref="B64:F72" totalsRowCount="1" headerRowBorderDxfId="942">
  <autoFilter ref="B64:F71" xr:uid="{00000000-000C-0000-FFFF-FFFF07000000}"/>
  <tableColumns count="5">
    <tableColumn id="1" xr3:uid="{3ACF697C-4D94-4228-9463-12833C1891F1}" name="Entertainment" totalsRowLabel="Total" totalsRowDxfId="941"/>
    <tableColumn id="2" xr3:uid="{1EBF82E1-ED4E-4F86-A003-5A36DEE49CA7}" name="Budgeted_x000a_cost" totalsRowFunction="sum" totalsRowDxfId="940"/>
    <tableColumn id="3" xr3:uid="{163D4822-8E90-43DE-A479-0C11B229BF34}" name="Actual_x000a_cost" totalsRowFunction="sum" totalsRowDxfId="939"/>
    <tableColumn id="5" xr3:uid="{F72B8212-EFBB-4BEC-B555-2DAEBEC3A948}" name="Date due" dataDxfId="937" totalsRowDxfId="938" dataCellStyle="Amounts"/>
    <tableColumn id="4" xr3:uid="{C04B6371-4E06-49F1-8769-75EAC298BE82}" name="Difference" totalsRowFunction="sum" totalsRowDxfId="936">
      <calculatedColumnFormula>Entertainment95108121[[#This Row],[Budgeted
cost]]-Entertainment95108121[[#This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331B9C12-238A-4F3D-A299-8D7BAE736EAA}" name="PersonalCare96109122" displayName="PersonalCare96109122" ref="H15:L24" totalsRowCount="1" headerRowBorderDxfId="935">
  <autoFilter ref="H15:L23" xr:uid="{00000000-000C-0000-FFFF-FFFF06000000}"/>
  <tableColumns count="5">
    <tableColumn id="1" xr3:uid="{67E6E0AF-6451-4AEF-8095-368CDFDE088D}" name="Personal care" totalsRowLabel="Total" totalsRowDxfId="934"/>
    <tableColumn id="2" xr3:uid="{0229D6BE-D6BC-47BD-AA31-8084ED424D38}" name="Budgeted_x000a_cost" totalsRowFunction="sum" totalsRowDxfId="933"/>
    <tableColumn id="3" xr3:uid="{878B3216-68EF-4957-B40C-7269E833B9BB}" name="Actual_x000a_cost" totalsRowFunction="sum" totalsRowDxfId="932"/>
    <tableColumn id="5" xr3:uid="{2ADFAE9E-9FF2-46FC-B8E6-F47B2B0D53C0}" name="Date due" dataDxfId="930" totalsRowDxfId="931" dataCellStyle="Amounts"/>
    <tableColumn id="4" xr3:uid="{ECF92842-6575-4B26-AED6-C7516850FCF7}" name="Difference" totalsRowFunction="sum" totalsRowDxfId="929">
      <calculatedColumnFormula>PersonalCare96109122[[#This Row],[Budgeted
cost]]-PersonalCare96109122[[#This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ACD44FB0-14C1-4AC1-BE6F-5036432E8D3D}" name="Pets97110123" displayName="Pets97110123" ref="H27:L33" totalsRowCount="1" headerRowBorderDxfId="928">
  <autoFilter ref="H27:L32" xr:uid="{00000000-000C-0000-FFFF-FFFF05000000}"/>
  <tableColumns count="5">
    <tableColumn id="1" xr3:uid="{92E20AF0-6952-448F-9647-E2CE4789A697}" name="Pets" totalsRowLabel="Total" totalsRowDxfId="927"/>
    <tableColumn id="2" xr3:uid="{339BD8D7-61D1-4811-ABDF-18D2E0081782}" name="Budgeted_x000a_cost" totalsRowFunction="sum" totalsRowDxfId="926"/>
    <tableColumn id="3" xr3:uid="{6BCBC610-4381-472B-B815-9BA53996E6C0}" name="Actual_x000a_cost" totalsRowFunction="sum" totalsRowDxfId="925"/>
    <tableColumn id="5" xr3:uid="{04A33B85-C228-4DE8-A736-F2F89075D7C0}" name="Date due" dataDxfId="923" totalsRowDxfId="924" dataCellStyle="Amounts"/>
    <tableColumn id="4" xr3:uid="{D30D0CE8-F550-4B75-B965-10219915CA35}" name="Difference" totalsRowFunction="sum" totalsRowDxfId="922">
      <calculatedColumnFormula>Pets97110123[[#This Row],[Budgeted
cost]]-Pets97110123[[#This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DF978B38-654C-4C1B-857B-09BF581EE3F4}" name="Children98111124" displayName="Children98111124" ref="B43:F54" totalsRowCount="1" headerRowBorderDxfId="921">
  <autoFilter ref="B43:F53" xr:uid="{00000000-000C-0000-FFFF-FFFF04000000}"/>
  <tableColumns count="5">
    <tableColumn id="1" xr3:uid="{45E8D5FD-F79C-4F21-BBCF-F81C9B45B275}" name="Children" totalsRowLabel="Total" totalsRowDxfId="920"/>
    <tableColumn id="2" xr3:uid="{C014CB95-70BF-4802-8991-400DE5411C4D}" name="Budgeted_x000a_cost" totalsRowFunction="sum" totalsRowDxfId="919"/>
    <tableColumn id="3" xr3:uid="{F1AFF303-5070-4139-A267-CF00F9724C06}" name="Actual_x000a_cost" totalsRowFunction="sum" totalsRowDxfId="918"/>
    <tableColumn id="5" xr3:uid="{141661D8-2464-4E68-8B97-34FD88CD3955}" name="Date due" dataDxfId="916" totalsRowDxfId="917" dataCellStyle="Amounts"/>
    <tableColumn id="4" xr3:uid="{739C72CF-ED78-4AD1-9B0C-6A14E0A43950}" name="Difference" totalsRowFunction="sum" totalsRowDxfId="915">
      <calculatedColumnFormula>Children98111124[[#This Row],[Budgeted
cost]]-Children98111124[[#This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F3A4C339-5300-4ECB-8649-1D738EFD179F}" name="Food99112125" displayName="Food99112125" ref="B35:F41" totalsRowCount="1" headerRowBorderDxfId="914">
  <autoFilter ref="B35:F40" xr:uid="{00000000-000C-0000-FFFF-FFFF03000000}"/>
  <tableColumns count="5">
    <tableColumn id="1" xr3:uid="{E4B68EA4-87D8-464D-8D1E-5C2E3735B75E}" name="Food" totalsRowLabel="Total" totalsRowDxfId="913"/>
    <tableColumn id="2" xr3:uid="{1EE78F11-B689-4F18-AC9C-6621C8887838}" name="Budgeted_x000a_cost" totalsRowFunction="sum" totalsRowDxfId="912"/>
    <tableColumn id="3" xr3:uid="{B63E4580-5ED8-42EE-B28F-6FC2F8D0AE64}" name="Actual_x000a_cost" totalsRowFunction="sum" totalsRowDxfId="911"/>
    <tableColumn id="6" xr3:uid="{671711AE-16D9-430B-9290-B689BC7CCCB4}" name="Date due" dataDxfId="909" totalsRowDxfId="910" dataCellStyle="Amounts"/>
    <tableColumn id="4" xr3:uid="{974F6E9D-254F-43B8-8A97-9119176EC331}" name="Difference" totalsRowFunction="sum" totalsRowDxfId="908">
      <calculatedColumnFormula>Food99112125[[#This Row],[Budgeted
cost]]-Food99112125[[#This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F285E639-B2FF-4F9A-B21E-B85A0CE8610D}" name="Insurance100113126" displayName="Insurance100113126" ref="B27:F33" totalsRowCount="1" headerRowBorderDxfId="907">
  <autoFilter ref="B27:F32" xr:uid="{00000000-000C-0000-FFFF-FFFF02000000}"/>
  <tableColumns count="5">
    <tableColumn id="1" xr3:uid="{07F58AA6-7DB9-48D0-A352-586597EEB785}" name="Insurance" totalsRowLabel="Total" totalsRowDxfId="906"/>
    <tableColumn id="2" xr3:uid="{527920F9-78E6-4AC5-81FD-B2EA8791D0EB}" name="Budgeted_x000a_cost" totalsRowFunction="sum" totalsRowDxfId="905"/>
    <tableColumn id="3" xr3:uid="{8143A09B-060C-4884-B6AF-405C9DD61FE8}" name="Actual_x000a_cost" totalsRowFunction="sum" totalsRowDxfId="904"/>
    <tableColumn id="5" xr3:uid="{BB788F86-5D97-4D5E-A443-8F327DA61226}" name="Date due" dataDxfId="902" totalsRowDxfId="903" dataCellStyle="Amounts"/>
    <tableColumn id="4" xr3:uid="{E1659B3A-BDB7-486B-9E96-47C2F2CCCE90}" name="Difference" totalsRowFunction="sum" totalsRowDxfId="901">
      <calculatedColumnFormula>Insurance100113126[[#This Row],[Budgeted
cost]]-Insurance100113126[[#This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2E4AA530-0D98-4F87-9311-85FF58217B4B}" name="Transportation101114127" displayName="Transportation101114127" ref="B15:F25" totalsRowCount="1" headerRowBorderDxfId="900">
  <autoFilter ref="B15:F24" xr:uid="{00000000-000C-0000-FFFF-FFFF01000000}"/>
  <tableColumns count="5">
    <tableColumn id="1" xr3:uid="{368DB088-2E36-4868-BE4B-688E6BEEADAB}" name="Transportation" totalsRowLabel="Total" totalsRowDxfId="899"/>
    <tableColumn id="2" xr3:uid="{29B6FEFC-0695-4D70-8D9A-982EF0D98E73}" name="Budgeted_x000a_cost" totalsRowFunction="sum" totalsRowDxfId="898"/>
    <tableColumn id="3" xr3:uid="{2EFC2AF4-6797-4AEA-9A67-DBAE14C07225}" name="Actual_x000a_cost" totalsRowFunction="sum" totalsRowDxfId="897"/>
    <tableColumn id="6" xr3:uid="{4AF6281F-55E3-4BDE-9A53-78FB42BF4089}" name="Date due" dataDxfId="895" totalsRowDxfId="896" dataCellStyle="Amounts"/>
    <tableColumn id="4" xr3:uid="{1EF70A30-9C06-4395-9FFF-B4B1726298CC}" name="Difference" totalsRowFunction="sum" totalsRowDxfId="894">
      <calculatedColumnFormula>Transportation101114127[[#This Row],[Budgeted
cost]]-Transportation101114127[[#This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B9D0E9DF-32B9-4DDC-9A02-ABF2A3D976F6}" name="Housing102115128" displayName="Housing102115128" ref="B2:F13" totalsRowCount="1" headerRowDxfId="893" dataDxfId="892" totalsRowDxfId="891" headerRowBorderDxfId="889" tableBorderDxfId="890" dataCellStyle="Amounts">
  <autoFilter ref="B2:F12" xr:uid="{00000000-000C-0000-FFFF-FFFF00000000}"/>
  <tableColumns count="5">
    <tableColumn id="1" xr3:uid="{F55AEEB7-1F75-4EEA-9E7D-920FF34B00BB}" name="Housing" totalsRowLabel="Total" dataDxfId="887" totalsRowDxfId="888"/>
    <tableColumn id="2" xr3:uid="{E1EC80B2-8CC3-40A9-B6C8-969B4E0D212A}" name="Budgeted_x000a_cost" totalsRowFunction="sum" dataDxfId="885" totalsRowDxfId="886" dataCellStyle="Amounts"/>
    <tableColumn id="3" xr3:uid="{34D11E90-C49C-4BBE-BEAB-210F11DFC34E}" name="Actual_x000a_cost" totalsRowFunction="sum" dataDxfId="883" totalsRowDxfId="884" dataCellStyle="Amounts"/>
    <tableColumn id="5" xr3:uid="{DADA7FE8-3A9D-4B67-83DB-4C8405D823A3}" name="Date due" dataDxfId="882" dataCellStyle="Amounts"/>
    <tableColumn id="4" xr3:uid="{09ED13F4-2912-49B8-98FF-026B9163A209}" name="Difference" totalsRowFunction="sum" dataDxfId="880" totalsRowDxfId="881" dataCellStyle="Amounts">
      <calculatedColumnFormula>Housing102115128[[#This Row],[Budgeted
cost]]-Housing102115128[[#This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B03CA8EC-FAF3-4EF8-8069-4878A541E806}" name="Summary798081" displayName="Summary798081" ref="B2:E3" totalsRowShown="0" headerRowDxfId="876" dataDxfId="875" tableBorderDxfId="874" headerRowCellStyle="Heading 1">
  <autoFilter ref="B2:E3" xr:uid="{00000000-0009-0000-0100-00000E000000}">
    <filterColumn colId="0" hiddenButton="1"/>
    <filterColumn colId="1" hiddenButton="1"/>
    <filterColumn colId="2" hiddenButton="1"/>
    <filterColumn colId="3" hiddenButton="1"/>
  </autoFilter>
  <tableColumns count="4">
    <tableColumn id="1" xr3:uid="{32B5740A-2663-45A0-BF86-56D5FE2AF653}" name="Summary " dataDxfId="873" dataCellStyle="Bottom border"/>
    <tableColumn id="2" xr3:uid="{71D0ED9D-E8E7-4C44-A335-83E98FFC8C64}" name="Total_x000a_budgeted cost" dataDxfId="872" dataCellStyle="Bottom border"/>
    <tableColumn id="3" xr3:uid="{AEDA9844-E29A-4A67-8DCD-94BF194AF69D}" name="Total_x000a_actual cost" dataDxfId="871" dataCellStyle="Bottom border"/>
    <tableColumn id="4" xr3:uid="{B1FFBFBC-5B93-4154-8DDB-9B796DA02D22}" name="Total_x000a_difference" dataDxfId="870" dataCellStyle="Bottom border">
      <calculatedColumnFormula>SUM(C3-D3)</calculatedColumnFormula>
    </tableColumn>
  </tableColumns>
  <tableStyleInfo name="ActualMonthlyIncome" showFirstColumn="0" showLastColumn="0" showRowStripes="1" showColumnStripes="0"/>
  <extLst>
    <ext xmlns:x14="http://schemas.microsoft.com/office/spreadsheetml/2009/9/main" uri="{504A1905-F514-4f6f-8877-14C23A59335A}">
      <x14:table altTextSummary="Total Projected and Actual Costs, and Total Difference are auto calculated in this summary table"/>
    </ext>
  </extLst>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7E00A5A6-F83B-459D-B1FD-F8682D4C4373}" name="Legal90103116129" displayName="Legal90103116129" ref="B56:F62" totalsRowCount="1" headerRowBorderDxfId="867">
  <autoFilter ref="B56:F61" xr:uid="{00000000-000C-0000-FFFF-FFFF0C000000}"/>
  <tableColumns count="5">
    <tableColumn id="1" xr3:uid="{A5C611A3-2FB4-44E1-A3D9-35A1C56275E2}" name="Legal" totalsRowLabel="Total" totalsRowDxfId="866"/>
    <tableColumn id="2" xr3:uid="{3C0C72AF-70E2-4555-8D41-45F5D2B87657}" name="Budgeted_x000a_cost" totalsRowFunction="sum" totalsRowDxfId="865"/>
    <tableColumn id="3" xr3:uid="{0D07994B-16E1-439E-A2D7-3B0F5A9B669B}" name="Actual_x000a_cost" totalsRowFunction="sum" totalsRowDxfId="864"/>
    <tableColumn id="5" xr3:uid="{063E9221-85F8-4AC4-A755-1C3A8FB22E20}" name="Date due" dataDxfId="862" totalsRowDxfId="863" dataCellStyle="Amounts"/>
    <tableColumn id="4" xr3:uid="{DE1621E5-4859-4B27-8B2E-1F681B9EF455}" name="Difference" totalsRowFunction="sum" totalsRowDxfId="861">
      <calculatedColumnFormula>Legal90103116129[[#This Row],[Budgeted
cost]]-Legal90103116129[[#This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xes" displayName="Taxes" ref="H35:L40" totalsRowCount="1" headerRowBorderDxfId="1286">
  <autoFilter ref="H35:L39" xr:uid="{00000000-000C-0000-FFFF-FFFF09000000}"/>
  <tableColumns count="5">
    <tableColumn id="1" xr3:uid="{00000000-0010-0000-0900-000001000000}" name="Taxes" totalsRowLabel="Total" totalsRowDxfId="1285"/>
    <tableColumn id="2" xr3:uid="{00000000-0010-0000-0900-000002000000}" name="Budgeted _x000a_cost" totalsRowFunction="sum" totalsRowDxfId="1284"/>
    <tableColumn id="3" xr3:uid="{00000000-0010-0000-0900-000003000000}" name="Actual _x000a_cost" totalsRowFunction="sum" totalsRowDxfId="1283"/>
    <tableColumn id="5" xr3:uid="{4671E7A6-0427-4044-9FAA-2516CD4EFF6E}" name="Date due" dataDxfId="1281" totalsRowDxfId="1282" dataCellStyle="Amounts"/>
    <tableColumn id="4" xr3:uid="{00000000-0010-0000-0900-000004000000}" name="Difference" totalsRowFunction="sum" totalsRowDxfId="1280">
      <calculatedColumnFormula>Taxes[[#This Row],[Budgeted 
cost]]-Taxes[[#This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507B4BBE-1ABC-4A00-AFD1-1F4D5E071365}" name="Gifts91104117130" displayName="Gifts91104117130" ref="H56:L60" totalsRowCount="1" headerRowBorderDxfId="860">
  <autoFilter ref="H56:L59" xr:uid="{00000000-000C-0000-FFFF-FFFF0B000000}"/>
  <tableColumns count="5">
    <tableColumn id="1" xr3:uid="{FD6FF0B7-C6B4-4D2C-A66E-636FFC968CCE}" name="Gifts and donations" totalsRowLabel="Total" totalsRowDxfId="859"/>
    <tableColumn id="2" xr3:uid="{30394967-5A3A-4AE7-A671-63CB3E17FD0B}" name="Budgeted_x000a_cost" totalsRowFunction="sum" totalsRowDxfId="858"/>
    <tableColumn id="3" xr3:uid="{111C39CB-28B5-4E7A-BD50-3C33B5CE39D8}" name="Actual_x000a_cost" totalsRowFunction="sum" totalsRowDxfId="857"/>
    <tableColumn id="5" xr3:uid="{46956254-1DF0-4696-AF54-B656C5108F67}" name="Date due" dataDxfId="855" totalsRowDxfId="856" dataCellStyle="Amounts"/>
    <tableColumn id="4" xr3:uid="{B56DDEC3-4718-4A0B-A828-492492966E2A}" name="Difference" totalsRowFunction="sum" totalsRowDxfId="854">
      <calculatedColumnFormula>Gifts91104117130[[#This Row],[Budgeted
cost]]-Gifts91104117130[[#This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6DDA680C-195B-43A8-92AD-ACCC4A426783}" name="Savings92105118131" displayName="Savings92105118131" ref="H2:L10" totalsRowCount="1" headerRowBorderDxfId="853">
  <autoFilter ref="H2:L9" xr:uid="{00000000-000C-0000-FFFF-FFFF0A000000}"/>
  <tableColumns count="5">
    <tableColumn id="1" xr3:uid="{666CE299-8CAE-4FDD-9F22-9D421D76ADF3}" name="Savings/investments" totalsRowLabel="Total" totalsRowDxfId="852"/>
    <tableColumn id="2" xr3:uid="{344A8F83-3799-425C-9AEC-5D7FF846766B}" name="Budgeted_x000a_cost" totalsRowFunction="sum" totalsRowDxfId="851"/>
    <tableColumn id="3" xr3:uid="{746CA4DF-43D3-4D5C-81B5-550A8553500A}" name="Actual_x000a_cost" totalsRowFunction="sum" totalsRowDxfId="850"/>
    <tableColumn id="5" xr3:uid="{F84465FA-535C-46B2-B81D-ABD14E98F084}" name="Date due" dataDxfId="848" totalsRowDxfId="849" dataCellStyle="Amounts"/>
    <tableColumn id="4" xr3:uid="{52BAB582-F2AB-4211-BEE4-9008E665BE18}" name="Difference" totalsRowFunction="sum" totalsRowDxfId="847">
      <calculatedColumnFormula>Savings92105118131[[#This Row],[Budgeted
cost]]-Savings92105118131[[#This Row],[Actual
cost]]</calculatedColumnFormula>
    </tableColumn>
  </tableColumns>
  <tableStyleInfo name="Monthly Family Budget" showFirstColumn="1"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CDA9FBB7-49C0-429F-9ECB-883BD3C189E1}" name="Taxes93106119132" displayName="Taxes93106119132" ref="H35:L40" totalsRowCount="1" headerRowBorderDxfId="846">
  <autoFilter ref="H35:L39" xr:uid="{00000000-000C-0000-FFFF-FFFF09000000}"/>
  <tableColumns count="5">
    <tableColumn id="1" xr3:uid="{E1F6E25A-5039-44B4-A2C8-101E185F402D}" name="Taxes" totalsRowLabel="Total" totalsRowDxfId="845"/>
    <tableColumn id="2" xr3:uid="{E1145963-176C-4788-BDCE-CA21C31699DA}" name="Budgeted _x000a_cost" totalsRowFunction="sum" totalsRowDxfId="844"/>
    <tableColumn id="3" xr3:uid="{932482FA-27D2-4C6D-B13D-085F9260DFF4}" name="Actual _x000a_cost" totalsRowFunction="sum" totalsRowDxfId="843"/>
    <tableColumn id="5" xr3:uid="{6DCD9663-2547-4427-8469-C7927B821F4E}" name="Date due" dataDxfId="841" totalsRowDxfId="842" dataCellStyle="Amounts"/>
    <tableColumn id="4" xr3:uid="{6F6F95DC-7E7E-42D3-BBEB-ED1688C89F2B}" name="Difference" totalsRowFunction="sum" totalsRowDxfId="840">
      <calculatedColumnFormula>Taxes93106119132[[#This Row],[Budgeted 
cost]]-Taxes93106119132[[#This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5D56B11B-28CF-480B-9E4B-CD73C321BEB2}" name="Loans94107120133" displayName="Loans94107120133" ref="H43:L51" totalsRowCount="1" headerRowBorderDxfId="839">
  <autoFilter ref="H43:L50" xr:uid="{00000000-000C-0000-FFFF-FFFF08000000}"/>
  <tableColumns count="5">
    <tableColumn id="1" xr3:uid="{320F24A8-1198-41A1-BA01-E18256B2B71E}" name="Loans" totalsRowLabel="Total" totalsRowDxfId="838"/>
    <tableColumn id="2" xr3:uid="{98DD02BB-613B-4F4A-95D1-43B8A1236765}" name="Budgeted_x000a_cost" totalsRowFunction="sum" totalsRowDxfId="837"/>
    <tableColumn id="3" xr3:uid="{E5DE3EBE-3FC2-4DCB-BCFA-B7CDF7D9D2AD}" name="Actual_x000a_cost" totalsRowFunction="sum" totalsRowDxfId="836"/>
    <tableColumn id="5" xr3:uid="{B216F17F-6E66-4198-9A92-93B3C7A93977}" name="Date due" dataDxfId="834" totalsRowDxfId="835" dataCellStyle="Amounts"/>
    <tableColumn id="4" xr3:uid="{88476162-6754-47E7-93D2-7F275A1C096A}" name="Difference" totalsRowFunction="sum" totalsRowDxfId="833">
      <calculatedColumnFormula>Loans94107120133[[#This Row],[Budgeted
cost]]-Loans94107120133[[#This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D16FBD90-2995-4CAB-A597-C0673CF144C6}" name="Entertainment95108121134" displayName="Entertainment95108121134" ref="B64:F72" totalsRowCount="1" headerRowBorderDxfId="832">
  <autoFilter ref="B64:F71" xr:uid="{00000000-000C-0000-FFFF-FFFF07000000}"/>
  <tableColumns count="5">
    <tableColumn id="1" xr3:uid="{886B0EA5-D065-41DF-B32A-3E30F427F7F7}" name="Entertainment" totalsRowLabel="Total" totalsRowDxfId="831"/>
    <tableColumn id="2" xr3:uid="{F311C45F-9B57-4652-A90A-8F2ED6BC94DE}" name="Budgeted_x000a_cost" totalsRowFunction="sum" totalsRowDxfId="830"/>
    <tableColumn id="3" xr3:uid="{219F9378-E8BB-4861-9755-BA6841FFBF50}" name="Actual_x000a_cost" totalsRowFunction="sum" totalsRowDxfId="829"/>
    <tableColumn id="5" xr3:uid="{FB511731-6D22-470F-80AC-93C1A58C99B0}" name="Date due" dataDxfId="827" totalsRowDxfId="828" dataCellStyle="Amounts"/>
    <tableColumn id="4" xr3:uid="{6258C0BF-B6DC-428D-A2EB-B0EF71CEFC78}" name="Difference" totalsRowFunction="sum" totalsRowDxfId="826">
      <calculatedColumnFormula>Entertainment95108121134[[#This Row],[Budgeted
cost]]-Entertainment95108121134[[#This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BD1861B3-FA4C-4521-87A4-5A99DFC07E10}" name="PersonalCare96109122135" displayName="PersonalCare96109122135" ref="H15:L24" totalsRowCount="1" headerRowBorderDxfId="825">
  <autoFilter ref="H15:L23" xr:uid="{00000000-000C-0000-FFFF-FFFF06000000}"/>
  <tableColumns count="5">
    <tableColumn id="1" xr3:uid="{D964A5C1-CC21-48E8-8321-D4262E9166EC}" name="Personal care" totalsRowLabel="Total" totalsRowDxfId="824"/>
    <tableColumn id="2" xr3:uid="{81392844-DD3C-417C-AA71-7A0EED94D009}" name="Budgeted_x000a_cost" totalsRowFunction="sum" totalsRowDxfId="823"/>
    <tableColumn id="3" xr3:uid="{B799AD3F-0FD9-43C1-890A-C52EB48D63C3}" name="Actual_x000a_cost" totalsRowFunction="sum" totalsRowDxfId="822"/>
    <tableColumn id="5" xr3:uid="{7A4EA765-E2D5-4C01-9583-5E39451A6CF1}" name="Date due" dataDxfId="820" totalsRowDxfId="821" dataCellStyle="Amounts"/>
    <tableColumn id="4" xr3:uid="{E429947E-2542-46C5-9CD7-8670AD4DA338}" name="Difference" totalsRowFunction="sum" totalsRowDxfId="819">
      <calculatedColumnFormula>PersonalCare96109122135[[#This Row],[Budgeted
cost]]-PersonalCare96109122135[[#This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59BD3096-E616-4095-82AA-89BEEE71BD4B}" name="Pets97110123136" displayName="Pets97110123136" ref="H27:L33" totalsRowCount="1" headerRowBorderDxfId="818">
  <autoFilter ref="H27:L32" xr:uid="{00000000-000C-0000-FFFF-FFFF05000000}"/>
  <tableColumns count="5">
    <tableColumn id="1" xr3:uid="{B6FB538D-92C4-4174-BE82-3210952FEDBB}" name="Pets" totalsRowLabel="Total" totalsRowDxfId="817"/>
    <tableColumn id="2" xr3:uid="{78E7E79B-853C-4749-99F9-E95FEA041446}" name="Budgeted_x000a_cost" totalsRowFunction="sum" totalsRowDxfId="816"/>
    <tableColumn id="3" xr3:uid="{83282174-A519-42F3-9CE1-A7183C402552}" name="Actual_x000a_cost" totalsRowFunction="sum" totalsRowDxfId="815"/>
    <tableColumn id="5" xr3:uid="{BA4F5F36-AF07-4D0D-AB3C-ED3ABE0BBA94}" name="Date due" dataDxfId="813" totalsRowDxfId="814" dataCellStyle="Amounts"/>
    <tableColumn id="4" xr3:uid="{6C1CF118-E6B0-446C-AA23-E8AD655E3DE9}" name="Difference" totalsRowFunction="sum" totalsRowDxfId="812">
      <calculatedColumnFormula>Pets97110123136[[#This Row],[Budgeted
cost]]-Pets97110123136[[#This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DE2C49C1-52B4-47E4-8B77-7C1B22414AFE}" name="Children98111124137" displayName="Children98111124137" ref="B43:F54" totalsRowCount="1" headerRowBorderDxfId="811">
  <autoFilter ref="B43:F53" xr:uid="{00000000-000C-0000-FFFF-FFFF04000000}"/>
  <tableColumns count="5">
    <tableColumn id="1" xr3:uid="{DD560F68-1B5D-4589-A30A-EB926C507748}" name="Children" totalsRowLabel="Total" totalsRowDxfId="810"/>
    <tableColumn id="2" xr3:uid="{9DB247E1-B3BB-46C0-9CA1-AB38CA11D76A}" name="Budgeted_x000a_cost" totalsRowFunction="sum" totalsRowDxfId="809"/>
    <tableColumn id="3" xr3:uid="{6EC42F59-0696-44AE-BDB6-0C71DB877860}" name="Actual_x000a_cost" totalsRowFunction="sum" totalsRowDxfId="808"/>
    <tableColumn id="5" xr3:uid="{9264E9F9-5D91-4B61-8B7E-4DBD02F29475}" name="Date due" dataDxfId="806" totalsRowDxfId="807" dataCellStyle="Amounts"/>
    <tableColumn id="4" xr3:uid="{3AA4040F-865F-4FC2-87A5-DEF269641285}" name="Difference" totalsRowFunction="sum" totalsRowDxfId="805">
      <calculatedColumnFormula>Children98111124137[[#This Row],[Budgeted
cost]]-Children98111124137[[#This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95CDE8B6-C28F-43DA-9718-6CA7A08035A0}" name="Food99112125138" displayName="Food99112125138" ref="B35:F41" totalsRowCount="1" headerRowBorderDxfId="804">
  <autoFilter ref="B35:F40" xr:uid="{00000000-000C-0000-FFFF-FFFF03000000}"/>
  <tableColumns count="5">
    <tableColumn id="1" xr3:uid="{91ECD9DC-FFE5-4EAB-9C28-BD024B312F98}" name="Food" totalsRowLabel="Total" totalsRowDxfId="803"/>
    <tableColumn id="2" xr3:uid="{4EA4FBD1-90B2-485F-9CBB-4A353BAC530A}" name="Budgeted_x000a_cost" totalsRowFunction="sum" totalsRowDxfId="802"/>
    <tableColumn id="3" xr3:uid="{AEE62C3B-A978-4C30-B927-03322B814AF7}" name="Actual_x000a_cost" totalsRowFunction="sum" totalsRowDxfId="801"/>
    <tableColumn id="6" xr3:uid="{494C0A81-CE3A-469A-BD60-0B524BC003A5}" name="Date due" dataDxfId="799" totalsRowDxfId="800" dataCellStyle="Amounts"/>
    <tableColumn id="4" xr3:uid="{8B8B0950-81DB-4357-AEA7-1634299F5406}" name="Difference" totalsRowFunction="sum" totalsRowDxfId="798">
      <calculatedColumnFormula>Food99112125138[[#This Row],[Budgeted
cost]]-Food99112125138[[#This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60441D1D-0760-44B7-802B-83A35A54C2AC}" name="Insurance100113126139" displayName="Insurance100113126139" ref="B27:F33" totalsRowCount="1" headerRowBorderDxfId="797">
  <autoFilter ref="B27:F32" xr:uid="{00000000-000C-0000-FFFF-FFFF02000000}"/>
  <tableColumns count="5">
    <tableColumn id="1" xr3:uid="{BAC5D68C-22AA-4F7E-A33B-445069C27328}" name="Insurance" totalsRowLabel="Total" totalsRowDxfId="796"/>
    <tableColumn id="2" xr3:uid="{3D3DC701-B5F4-4E99-BB93-425BD8BCF554}" name="Budgeted_x000a_cost" totalsRowFunction="sum" totalsRowDxfId="795"/>
    <tableColumn id="3" xr3:uid="{3617151A-C930-4A43-A080-4DEBDC01123E}" name="Actual_x000a_cost" totalsRowFunction="sum" totalsRowDxfId="794"/>
    <tableColumn id="5" xr3:uid="{F3162BED-1DD7-4CD5-BA96-E3106AF5845F}" name="Date due" dataDxfId="792" totalsRowDxfId="793" dataCellStyle="Amounts"/>
    <tableColumn id="4" xr3:uid="{42BFEC95-7625-4610-8EA6-00ACE00B14C2}" name="Difference" totalsRowFunction="sum" totalsRowDxfId="791">
      <calculatedColumnFormula>Insurance100113126139[[#This Row],[Budgeted
cost]]-Insurance100113126139[[#This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Loans" displayName="Loans" ref="H43:L51" totalsRowCount="1" headerRowBorderDxfId="1279">
  <autoFilter ref="H43:L50" xr:uid="{00000000-000C-0000-FFFF-FFFF08000000}"/>
  <tableColumns count="5">
    <tableColumn id="1" xr3:uid="{00000000-0010-0000-0800-000001000000}" name="Loans" totalsRowLabel="Total" totalsRowDxfId="1278"/>
    <tableColumn id="2" xr3:uid="{00000000-0010-0000-0800-000002000000}" name="Budgeted_x000a_cost" totalsRowFunction="sum" totalsRowDxfId="1277"/>
    <tableColumn id="3" xr3:uid="{00000000-0010-0000-0800-000003000000}" name="Actual_x000a_cost" totalsRowFunction="sum" totalsRowDxfId="1276"/>
    <tableColumn id="5" xr3:uid="{A1A51B9D-C022-43C4-BA2B-1009F5CCC41E}" name="Date due" dataDxfId="1274" totalsRowDxfId="1275" dataCellStyle="Amounts"/>
    <tableColumn id="4" xr3:uid="{00000000-0010-0000-0800-000004000000}" name="Difference" totalsRowFunction="sum" totalsRowDxfId="1273">
      <calculatedColumnFormula>Loans[[#This Row],[Budgeted
cost]]-Loans[[#This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28824D46-1EE5-4E61-8555-6B474378FFBC}" name="Transportation101114127140" displayName="Transportation101114127140" ref="B15:F25" totalsRowCount="1" headerRowBorderDxfId="790">
  <autoFilter ref="B15:F24" xr:uid="{00000000-000C-0000-FFFF-FFFF01000000}"/>
  <tableColumns count="5">
    <tableColumn id="1" xr3:uid="{7F91457E-F60A-48A7-9151-804C6AEBAD40}" name="Transportation" totalsRowLabel="Total" totalsRowDxfId="789"/>
    <tableColumn id="2" xr3:uid="{F85E0DE6-62F1-400F-A611-DD48983F8763}" name="Budgeted_x000a_cost" totalsRowFunction="sum" totalsRowDxfId="788"/>
    <tableColumn id="3" xr3:uid="{5B540957-3AD6-442B-8100-BDFF022332A5}" name="Actual_x000a_cost" totalsRowFunction="sum" totalsRowDxfId="787"/>
    <tableColumn id="6" xr3:uid="{7EC98743-C53C-432B-AF70-6185F3255350}" name="Date due" dataDxfId="785" totalsRowDxfId="786" dataCellStyle="Amounts"/>
    <tableColumn id="4" xr3:uid="{36D67906-8533-46A3-873F-2E46F44CB1EC}" name="Difference" totalsRowFunction="sum" totalsRowDxfId="784">
      <calculatedColumnFormula>Transportation101114127140[[#This Row],[Budgeted
cost]]-Transportation101114127140[[#This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82467A39-0358-4E69-A897-8325EFF38DC5}" name="Housing102115128141" displayName="Housing102115128141" ref="B2:F13" totalsRowCount="1" headerRowDxfId="783" dataDxfId="782" totalsRowDxfId="781" headerRowBorderDxfId="779" tableBorderDxfId="780" dataCellStyle="Amounts">
  <autoFilter ref="B2:F12" xr:uid="{00000000-000C-0000-FFFF-FFFF00000000}"/>
  <tableColumns count="5">
    <tableColumn id="1" xr3:uid="{E05D2E59-5D38-4867-A5D5-18B864C93B14}" name="Housing" totalsRowLabel="Total" dataDxfId="777" totalsRowDxfId="778"/>
    <tableColumn id="2" xr3:uid="{AC736D5D-68E5-4DD4-8ACE-27A6C0C0B667}" name="Budgeted_x000a_cost" totalsRowFunction="sum" dataDxfId="775" totalsRowDxfId="776" dataCellStyle="Amounts"/>
    <tableColumn id="3" xr3:uid="{5B86565B-59DC-4273-82D5-7CFA43917335}" name="Actual_x000a_cost" totalsRowFunction="sum" dataDxfId="773" totalsRowDxfId="774" dataCellStyle="Amounts"/>
    <tableColumn id="5" xr3:uid="{DB248A91-1881-4F88-88CD-A31BA17CA442}" name="Date due" dataDxfId="772" dataCellStyle="Amounts"/>
    <tableColumn id="4" xr3:uid="{1A4091F2-18B2-46DD-9A85-559F4E598FBD}" name="Difference" totalsRowFunction="sum" dataDxfId="770" totalsRowDxfId="771" dataCellStyle="Amounts">
      <calculatedColumnFormula>Housing102115128141[[#This Row],[Budgeted
cost]]-Housing102115128141[[#This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5F21FF3A-FD82-4093-9FCB-5BB37F365551}" name="Summary79808182" displayName="Summary79808182" ref="B2:E3" totalsRowShown="0" headerRowDxfId="766" dataDxfId="765" tableBorderDxfId="764" headerRowCellStyle="Heading 1">
  <autoFilter ref="B2:E3" xr:uid="{00000000-0009-0000-0100-00000E000000}">
    <filterColumn colId="0" hiddenButton="1"/>
    <filterColumn colId="1" hiddenButton="1"/>
    <filterColumn colId="2" hiddenButton="1"/>
    <filterColumn colId="3" hiddenButton="1"/>
  </autoFilter>
  <tableColumns count="4">
    <tableColumn id="1" xr3:uid="{48A8B60C-7A90-4655-A70A-6B77C5F8C8B6}" name="Summary " dataDxfId="763" dataCellStyle="Bottom border"/>
    <tableColumn id="2" xr3:uid="{D6836AF1-8623-4C11-BC5C-1F8ADF1C3752}" name="Total_x000a_budgeted cost" dataDxfId="762" dataCellStyle="Bottom border">
      <calculatedColumnFormula>C19</calculatedColumnFormula>
    </tableColumn>
    <tableColumn id="3" xr3:uid="{1075990E-4519-421B-A18E-F0539C7542EB}" name="Total_x000a_actual cost" dataDxfId="761" dataCellStyle="Bottom border">
      <calculatedColumnFormula>D19</calculatedColumnFormula>
    </tableColumn>
    <tableColumn id="4" xr3:uid="{807904E4-0962-44D0-AC4D-3888EDB66F72}" name="Total_x000a_difference" dataDxfId="760" dataCellStyle="Bottom border">
      <calculatedColumnFormula>SUM(C3-D3)</calculatedColumnFormula>
    </tableColumn>
  </tableColumns>
  <tableStyleInfo name="ActualMonthlyIncome" showFirstColumn="0" showLastColumn="0" showRowStripes="1" showColumnStripes="0"/>
  <extLst>
    <ext xmlns:x14="http://schemas.microsoft.com/office/spreadsheetml/2009/9/main" uri="{504A1905-F514-4f6f-8877-14C23A59335A}">
      <x14:table altTextSummary="Total Projected and Actual Costs, and Total Difference are auto calculated in this summary table"/>
    </ext>
  </extLst>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307498F4-F6D3-44F3-B391-E5FEE2760201}" name="Legal90103116129142" displayName="Legal90103116129142" ref="B56:F62" totalsRowCount="1" headerRowBorderDxfId="757">
  <autoFilter ref="B56:F61" xr:uid="{00000000-000C-0000-FFFF-FFFF0C000000}"/>
  <tableColumns count="5">
    <tableColumn id="1" xr3:uid="{0FA6DE63-7681-460A-807F-53907BE34550}" name="Legal" totalsRowLabel="Total" totalsRowDxfId="756"/>
    <tableColumn id="2" xr3:uid="{DD25A838-57F2-4F35-9001-61293F55D0DE}" name="Budgeted_x000a_cost" totalsRowFunction="sum" totalsRowDxfId="755"/>
    <tableColumn id="3" xr3:uid="{2FD0C80D-2713-4E70-B897-1679E4B07F73}" name="Actual_x000a_cost" totalsRowFunction="sum" totalsRowDxfId="754"/>
    <tableColumn id="5" xr3:uid="{2957DA9C-AC68-4476-BFB2-366256EB42D7}" name="Date due" dataDxfId="752" totalsRowDxfId="753" dataCellStyle="Amounts"/>
    <tableColumn id="4" xr3:uid="{1777986C-7453-4D3C-A8DA-FDD8DAA8EB1A}" name="Difference" totalsRowFunction="sum" totalsRowDxfId="751">
      <calculatedColumnFormula>Legal90103116129142[[#This Row],[Budgeted
cost]]-Legal90103116129142[[#This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28F5FA7A-2D26-4101-B521-81A1CBD5F4CA}" name="Gifts91104117130143" displayName="Gifts91104117130143" ref="H56:L60" totalsRowCount="1" headerRowBorderDxfId="750">
  <autoFilter ref="H56:L59" xr:uid="{00000000-000C-0000-FFFF-FFFF0B000000}"/>
  <tableColumns count="5">
    <tableColumn id="1" xr3:uid="{235FAB05-9613-4E10-A09F-8DD83353D66A}" name="Gifts and donations" totalsRowLabel="Total" totalsRowDxfId="749"/>
    <tableColumn id="2" xr3:uid="{C12C1ECB-D14B-4042-87F6-4E8474E11F7C}" name="Budgeted_x000a_cost" totalsRowFunction="sum" totalsRowDxfId="748"/>
    <tableColumn id="3" xr3:uid="{E17EC905-30D7-4CFE-981A-C35625D96174}" name="Actual_x000a_cost" totalsRowFunction="sum" totalsRowDxfId="747"/>
    <tableColumn id="5" xr3:uid="{0356C0B1-2DAA-41D2-A553-6B3E2D413DDE}" name="Date due" dataDxfId="745" totalsRowDxfId="746" dataCellStyle="Amounts"/>
    <tableColumn id="4" xr3:uid="{A0FB1C92-4E93-4938-BFCC-843F4A276098}" name="Difference" totalsRowFunction="sum" totalsRowDxfId="744">
      <calculatedColumnFormula>Gifts91104117130143[[#This Row],[Budgeted
cost]]-Gifts91104117130143[[#This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22071191-2EFD-4A0F-944E-3D4D30FFDDD7}" name="Savings92105118131144" displayName="Savings92105118131144" ref="H2:L10" totalsRowCount="1" headerRowBorderDxfId="743">
  <autoFilter ref="H2:L9" xr:uid="{00000000-000C-0000-FFFF-FFFF0A000000}"/>
  <tableColumns count="5">
    <tableColumn id="1" xr3:uid="{42437EC4-2027-4F51-9222-E732E460624A}" name="Savings/investments" totalsRowLabel="Total" totalsRowDxfId="742"/>
    <tableColumn id="2" xr3:uid="{25A5DA0A-B32B-41DA-A1E3-A60F3A6BDD73}" name="Budgeted_x000a_cost" totalsRowFunction="sum" totalsRowDxfId="741"/>
    <tableColumn id="3" xr3:uid="{A055455A-9B95-4A5F-AA80-2935EC2C5C7C}" name="Actual_x000a_cost" totalsRowFunction="sum" totalsRowDxfId="740"/>
    <tableColumn id="5" xr3:uid="{D643AA5F-BFF1-4724-A5EB-29CD31C24356}" name="Date due" dataDxfId="738" totalsRowDxfId="739" dataCellStyle="Amounts"/>
    <tableColumn id="4" xr3:uid="{6452AC57-9596-465A-BB79-E911C11D5F19}" name="Difference" totalsRowFunction="sum" totalsRowDxfId="737">
      <calculatedColumnFormula>Savings92105118131144[[#This Row],[Budgeted
cost]]-Savings92105118131144[[#This Row],[Actual
cost]]</calculatedColumnFormula>
    </tableColumn>
  </tableColumns>
  <tableStyleInfo name="Monthly Family Budget" showFirstColumn="1"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352A2A6C-16B3-480E-A481-0F889B6E81C9}" name="Taxes93106119132145" displayName="Taxes93106119132145" ref="H35:L40" totalsRowCount="1" headerRowBorderDxfId="736">
  <autoFilter ref="H35:L39" xr:uid="{00000000-000C-0000-FFFF-FFFF09000000}"/>
  <tableColumns count="5">
    <tableColumn id="1" xr3:uid="{874C4B8F-494B-4A3E-812B-AF0E59EBA3BE}" name="Taxes" totalsRowLabel="Total" totalsRowDxfId="735"/>
    <tableColumn id="2" xr3:uid="{B4BEB17C-DB87-489F-A9AD-FB852C7D2B70}" name="Budgeted _x000a_cost" totalsRowFunction="sum" totalsRowDxfId="734"/>
    <tableColumn id="3" xr3:uid="{B12CF670-6DA1-4A48-BBEF-0304B2731142}" name="Actual _x000a_cost" totalsRowFunction="sum" totalsRowDxfId="733"/>
    <tableColumn id="5" xr3:uid="{7983CBD9-BC99-4484-9527-CAD3B037934B}" name="Date due" dataDxfId="731" totalsRowDxfId="732" dataCellStyle="Amounts"/>
    <tableColumn id="4" xr3:uid="{B0CBA10E-9007-4837-B232-9995A6BEE55E}" name="Difference" totalsRowFunction="sum" totalsRowDxfId="730">
      <calculatedColumnFormula>Taxes93106119132145[[#This Row],[Budgeted 
cost]]-Taxes93106119132145[[#This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84A9082F-696C-4AC9-9B1F-2FEFF391BDFA}" name="Loans94107120133146" displayName="Loans94107120133146" ref="H43:L51" totalsRowCount="1" headerRowBorderDxfId="729">
  <autoFilter ref="H43:L50" xr:uid="{00000000-000C-0000-FFFF-FFFF08000000}"/>
  <tableColumns count="5">
    <tableColumn id="1" xr3:uid="{7A539F6E-B4FF-4A2E-B9FC-B18BD08EDDE2}" name="Loans" totalsRowLabel="Total" totalsRowDxfId="728"/>
    <tableColumn id="2" xr3:uid="{BC33BE87-21D6-4E3D-83E2-483AE07DEEA9}" name="Budgeted_x000a_cost" totalsRowFunction="sum" totalsRowDxfId="727"/>
    <tableColumn id="3" xr3:uid="{DD9BE20C-31A7-43FF-8D8A-1D9E49F3EAD1}" name="Actual_x000a_cost" totalsRowFunction="sum" totalsRowDxfId="726"/>
    <tableColumn id="5" xr3:uid="{0E68C72F-BCCC-4D20-AB00-7FAEDC1869BD}" name="Date due" dataDxfId="724" totalsRowDxfId="725" dataCellStyle="Amounts"/>
    <tableColumn id="4" xr3:uid="{42FF370E-84E5-4135-9738-0FC86B1514D7}" name="Difference" totalsRowFunction="sum" totalsRowDxfId="723">
      <calculatedColumnFormula>Loans94107120133146[[#This Row],[Budgeted
cost]]-Loans94107120133146[[#This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4EB599D2-E747-4561-9DFC-858441852454}" name="Entertainment95108121134147" displayName="Entertainment95108121134147" ref="B64:F72" totalsRowCount="1" headerRowBorderDxfId="722">
  <autoFilter ref="B64:F71" xr:uid="{00000000-000C-0000-FFFF-FFFF07000000}"/>
  <tableColumns count="5">
    <tableColumn id="1" xr3:uid="{61EF686B-2BBD-4E46-8D6F-79550AA8B8A2}" name="Entertainment" totalsRowLabel="Total" totalsRowDxfId="721"/>
    <tableColumn id="2" xr3:uid="{C7095E64-90F3-4AFB-A8CD-C5372FB2AAD3}" name="Budgeted_x000a_cost" totalsRowFunction="sum" totalsRowDxfId="720"/>
    <tableColumn id="3" xr3:uid="{CA2B558F-0705-4AB4-A8FC-FF7D5774BA8C}" name="Actual_x000a_cost" totalsRowFunction="sum" totalsRowDxfId="719"/>
    <tableColumn id="5" xr3:uid="{60CCAD16-A14C-41DF-A975-5F64843ABF62}" name="Date due" dataDxfId="717" totalsRowDxfId="718" dataCellStyle="Amounts"/>
    <tableColumn id="4" xr3:uid="{B260CEFD-FDD8-4FA9-AC0E-D98795CF4DFE}" name="Difference" totalsRowFunction="sum" totalsRowDxfId="716">
      <calculatedColumnFormula>Entertainment95108121134147[[#This Row],[Budgeted
cost]]-Entertainment95108121134147[[#This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6160524D-B0B3-416D-B345-C0E470BA1B16}" name="PersonalCare96109122135148" displayName="PersonalCare96109122135148" ref="H15:L24" totalsRowCount="1" headerRowBorderDxfId="715">
  <autoFilter ref="H15:L23" xr:uid="{00000000-000C-0000-FFFF-FFFF06000000}"/>
  <tableColumns count="5">
    <tableColumn id="1" xr3:uid="{B4314503-A1CC-420D-96AE-185734293623}" name="Personal care" totalsRowLabel="Total" totalsRowDxfId="714"/>
    <tableColumn id="2" xr3:uid="{82E930D0-8BB1-4AAE-85BB-992253426165}" name="Budgeted_x000a_cost" totalsRowFunction="sum" totalsRowDxfId="713"/>
    <tableColumn id="3" xr3:uid="{BD298D56-552C-4021-B4FA-332420AE9715}" name="Actual_x000a_cost" totalsRowFunction="sum" totalsRowDxfId="712"/>
    <tableColumn id="5" xr3:uid="{B9AB8524-F6EA-49B8-8F5F-539A767A2D27}" name="Date due" dataDxfId="710" totalsRowDxfId="711" dataCellStyle="Amounts"/>
    <tableColumn id="4" xr3:uid="{E1D6C76B-1F60-4F43-A62F-1971E46BDFF6}" name="Difference" totalsRowFunction="sum" totalsRowDxfId="709">
      <calculatedColumnFormula>PersonalCare96109122135148[[#This Row],[Budgeted
cost]]-PersonalCare96109122135148[[#This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Entertainment" displayName="Entertainment" ref="B64:F72" totalsRowCount="1" headerRowBorderDxfId="1272">
  <autoFilter ref="B64:F71" xr:uid="{00000000-000C-0000-FFFF-FFFF07000000}"/>
  <tableColumns count="5">
    <tableColumn id="1" xr3:uid="{00000000-0010-0000-0700-000001000000}" name="Entertainment" totalsRowLabel="Total" totalsRowDxfId="1271"/>
    <tableColumn id="2" xr3:uid="{00000000-0010-0000-0700-000002000000}" name="Budgeted_x000a_cost" totalsRowFunction="sum" totalsRowDxfId="1270"/>
    <tableColumn id="3" xr3:uid="{00000000-0010-0000-0700-000003000000}" name="Actual_x000a_cost" totalsRowFunction="sum" totalsRowDxfId="1269"/>
    <tableColumn id="5" xr3:uid="{4153CA2E-7142-4902-8E8B-D5FD59FB3BDF}" name="Date due" dataDxfId="1267" totalsRowDxfId="1268" dataCellStyle="Amounts"/>
    <tableColumn id="4" xr3:uid="{00000000-0010-0000-0700-000004000000}" name="Difference" totalsRowFunction="sum" totalsRowDxfId="1266">
      <calculatedColumnFormula>Entertainment[[#This Row],[Budgeted
cost]]-Entertainment[[#This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8A53D13C-08D2-4B1A-AD61-AA143438F89B}" name="Pets97110123136149" displayName="Pets97110123136149" ref="H27:L33" totalsRowCount="1" headerRowBorderDxfId="708">
  <autoFilter ref="H27:L32" xr:uid="{00000000-000C-0000-FFFF-FFFF05000000}"/>
  <tableColumns count="5">
    <tableColumn id="1" xr3:uid="{4E7FF3DE-A5CF-43C5-963D-130BFCA50620}" name="Pets" totalsRowLabel="Total" totalsRowDxfId="707"/>
    <tableColumn id="2" xr3:uid="{82FD8341-9B3D-44FD-8F29-CB92131DEC42}" name="Budgeted_x000a_cost" totalsRowFunction="sum" totalsRowDxfId="706"/>
    <tableColumn id="3" xr3:uid="{9CE5BEDB-0236-4E24-AB45-96775FE78514}" name="Actual_x000a_cost" totalsRowFunction="sum" totalsRowDxfId="705"/>
    <tableColumn id="5" xr3:uid="{B9EFA1C4-D627-4C81-BEE0-1379FFEDD7F4}" name="Date due" dataDxfId="703" totalsRowDxfId="704" dataCellStyle="Amounts"/>
    <tableColumn id="4" xr3:uid="{FA36DF2D-348E-4120-91ED-DC0D634D47C5}" name="Difference" totalsRowFunction="sum" totalsRowDxfId="702">
      <calculatedColumnFormula>Pets97110123136149[[#This Row],[Budgeted
cost]]-Pets97110123136149[[#This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8E001634-783C-446B-A5E7-9AF661916A24}" name="Children98111124137150" displayName="Children98111124137150" ref="B43:F54" totalsRowCount="1" headerRowBorderDxfId="701">
  <autoFilter ref="B43:F53" xr:uid="{00000000-000C-0000-FFFF-FFFF04000000}"/>
  <tableColumns count="5">
    <tableColumn id="1" xr3:uid="{5E09BF77-6B88-44C5-AF0A-7D56C32409A8}" name="Children" totalsRowLabel="Total" totalsRowDxfId="700"/>
    <tableColumn id="2" xr3:uid="{C5BCAEAA-1D53-4656-B003-6C41FFEB877A}" name="Budgeted_x000a_cost" totalsRowFunction="sum" totalsRowDxfId="699"/>
    <tableColumn id="3" xr3:uid="{1D79FFE9-30C5-4A05-B2FF-0A05D9C85ADC}" name="Actual_x000a_cost" totalsRowFunction="sum" totalsRowDxfId="698"/>
    <tableColumn id="5" xr3:uid="{C026B72C-DE9D-4CD2-A635-55CE4C7BE8CB}" name="Date due" dataDxfId="696" totalsRowDxfId="697" dataCellStyle="Amounts"/>
    <tableColumn id="4" xr3:uid="{7CDCF222-0D09-4304-BDFC-4CE102A3C75B}" name="Difference" totalsRowFunction="sum" totalsRowDxfId="695">
      <calculatedColumnFormula>Children98111124137150[[#This Row],[Budgeted
cost]]-Children98111124137150[[#This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DD5E99BE-467C-455B-A266-6A0A8C2A9CB5}" name="Food99112125138151" displayName="Food99112125138151" ref="B35:F41" totalsRowCount="1" headerRowBorderDxfId="694">
  <autoFilter ref="B35:F40" xr:uid="{00000000-000C-0000-FFFF-FFFF03000000}"/>
  <tableColumns count="5">
    <tableColumn id="1" xr3:uid="{CF160E43-AE30-4CBA-8F99-A3F80502FA2C}" name="Food" totalsRowLabel="Total" totalsRowDxfId="693"/>
    <tableColumn id="2" xr3:uid="{75025D07-8DBB-4D2A-903A-E33752F24798}" name="Budgeted_x000a_cost" totalsRowFunction="sum" totalsRowDxfId="692"/>
    <tableColumn id="3" xr3:uid="{1988BF75-D20E-4184-900B-3E5836EEC7BA}" name="Actual_x000a_cost" totalsRowFunction="sum" totalsRowDxfId="691"/>
    <tableColumn id="6" xr3:uid="{27D6F79C-4F37-4112-914E-8BC4CCEBB6E9}" name="Date due" dataDxfId="689" totalsRowDxfId="690" dataCellStyle="Amounts"/>
    <tableColumn id="4" xr3:uid="{6918B9EC-CE6B-4A46-8651-1BD0799EF964}" name="Difference" totalsRowFunction="sum" totalsRowDxfId="688">
      <calculatedColumnFormula>Food99112125138151[[#This Row],[Budgeted
cost]]-Food99112125138151[[#This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F2E902B8-6A66-4AF1-B6C7-609753F98389}" name="Insurance100113126139152" displayName="Insurance100113126139152" ref="B27:F33" totalsRowCount="1" headerRowBorderDxfId="687">
  <autoFilter ref="B27:F32" xr:uid="{00000000-000C-0000-FFFF-FFFF02000000}"/>
  <tableColumns count="5">
    <tableColumn id="1" xr3:uid="{1E2CB838-60F0-4390-AAA3-FD2901EB7CE7}" name="Insurance" totalsRowLabel="Total" totalsRowDxfId="686"/>
    <tableColumn id="2" xr3:uid="{63F822B9-50DE-481F-941F-AAC246E739DA}" name="Budgeted_x000a_cost" totalsRowFunction="sum" totalsRowDxfId="685"/>
    <tableColumn id="3" xr3:uid="{2427DBFE-955D-4DD0-B09F-CA8C135CF948}" name="Actual_x000a_cost" totalsRowFunction="sum" totalsRowDxfId="684"/>
    <tableColumn id="5" xr3:uid="{099D0661-5C3E-494E-AE44-1D0AD13BF825}" name="Date due" dataDxfId="682" totalsRowDxfId="683" dataCellStyle="Amounts"/>
    <tableColumn id="4" xr3:uid="{D2E867E5-9311-4595-ADB9-717937EF76F3}" name="Difference" totalsRowFunction="sum" totalsRowDxfId="681">
      <calculatedColumnFormula>Insurance100113126139152[[#This Row],[Budgeted
cost]]-Insurance100113126139152[[#This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E2D25C21-9524-4CED-9DE0-7BCF44463291}" name="Transportation101114127140153" displayName="Transportation101114127140153" ref="B15:F25" totalsRowCount="1" headerRowBorderDxfId="680">
  <autoFilter ref="B15:F24" xr:uid="{00000000-000C-0000-FFFF-FFFF01000000}"/>
  <tableColumns count="5">
    <tableColumn id="1" xr3:uid="{7CE85B5F-F352-40BB-A0D1-709B9BF53E79}" name="Transportation" totalsRowLabel="Total" totalsRowDxfId="679"/>
    <tableColumn id="2" xr3:uid="{E183734D-2E46-48B5-B08A-4D35BD3DE99A}" name="Budgeted_x000a_cost" totalsRowFunction="sum" totalsRowDxfId="678"/>
    <tableColumn id="3" xr3:uid="{F2333CC0-4D97-449C-8B37-68BA0548B791}" name="Actual_x000a_cost" totalsRowFunction="sum" totalsRowDxfId="677"/>
    <tableColumn id="6" xr3:uid="{F238C36D-ADEC-4975-8D1B-96257DEE2599}" name="Date due" dataDxfId="675" totalsRowDxfId="676" dataCellStyle="Amounts"/>
    <tableColumn id="4" xr3:uid="{EA19BC73-F492-4C40-BFA8-AA5D1D9E4171}" name="Difference" totalsRowFunction="sum" totalsRowDxfId="674">
      <calculatedColumnFormula>Transportation101114127140153[[#This Row],[Budgeted
cost]]-Transportation101114127140153[[#This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9A957F4B-BF22-4383-9146-DEEE97AF4F06}" name="Housing102115128141154" displayName="Housing102115128141154" ref="B2:F13" totalsRowCount="1" headerRowDxfId="673" dataDxfId="672" totalsRowDxfId="671" headerRowBorderDxfId="669" tableBorderDxfId="670" dataCellStyle="Amounts">
  <autoFilter ref="B2:F12" xr:uid="{00000000-000C-0000-FFFF-FFFF00000000}"/>
  <tableColumns count="5">
    <tableColumn id="1" xr3:uid="{03C860A6-B4E9-40E7-B644-7B639C77F24F}" name="Housing" totalsRowLabel="Total" dataDxfId="667" totalsRowDxfId="668"/>
    <tableColumn id="2" xr3:uid="{5CD0D59C-02D2-48C9-9F25-BCAD4CA78E2C}" name="Budgeted_x000a_cost" totalsRowFunction="sum" dataDxfId="665" totalsRowDxfId="666" dataCellStyle="Amounts"/>
    <tableColumn id="3" xr3:uid="{29E86597-7F0E-4F8B-9C6B-D784B284224C}" name="Actual_x000a_cost" totalsRowFunction="sum" dataDxfId="663" totalsRowDxfId="664" dataCellStyle="Amounts"/>
    <tableColumn id="5" xr3:uid="{D7938EAC-648C-4DC6-93D9-71DA48539D35}" name="Date due" dataDxfId="662" dataCellStyle="Amounts"/>
    <tableColumn id="4" xr3:uid="{4D789F11-7D6A-4A88-BF14-06011B8F553D}" name="Difference" totalsRowFunction="sum" dataDxfId="660" totalsRowDxfId="661" dataCellStyle="Amounts">
      <calculatedColumnFormula>Housing102115128141154[[#This Row],[Budgeted
cost]]-Housing102115128141154[[#This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F43FFEBC-F0BD-49E4-92E6-C153076C222A}" name="Summary7980818283" displayName="Summary7980818283" ref="B2:E3" totalsRowShown="0" headerRowDxfId="656" dataDxfId="655" tableBorderDxfId="654" headerRowCellStyle="Heading 1">
  <autoFilter ref="B2:E3" xr:uid="{00000000-0009-0000-0100-00000E000000}">
    <filterColumn colId="0" hiddenButton="1"/>
    <filterColumn colId="1" hiddenButton="1"/>
    <filterColumn colId="2" hiddenButton="1"/>
    <filterColumn colId="3" hiddenButton="1"/>
  </autoFilter>
  <tableColumns count="4">
    <tableColumn id="1" xr3:uid="{13CA8E67-C47D-4B72-A5C6-6E0E88842FAC}" name="Summary " dataDxfId="653" dataCellStyle="Bottom border"/>
    <tableColumn id="2" xr3:uid="{00AC3A05-0AF3-4EB8-A4E6-794BD05EF58D}" name="Total_x000a_budgeted cost" dataDxfId="652" dataCellStyle="Bottom border">
      <calculatedColumnFormula>C19</calculatedColumnFormula>
    </tableColumn>
    <tableColumn id="3" xr3:uid="{78A31D80-CBFC-488B-B2E0-6E179BEC178C}" name="Total_x000a_actual cost" dataDxfId="651" dataCellStyle="Bottom border">
      <calculatedColumnFormula>D19</calculatedColumnFormula>
    </tableColumn>
    <tableColumn id="4" xr3:uid="{2CDB017D-FD56-4A8C-A3D4-0BDB1FE71F23}" name="Total_x000a_difference" dataDxfId="650" dataCellStyle="Bottom border">
      <calculatedColumnFormula>SUM(C3-D3)</calculatedColumnFormula>
    </tableColumn>
  </tableColumns>
  <tableStyleInfo name="ActualMonthlyIncome" showFirstColumn="0" showLastColumn="0" showRowStripes="1" showColumnStripes="0"/>
  <extLst>
    <ext xmlns:x14="http://schemas.microsoft.com/office/spreadsheetml/2009/9/main" uri="{504A1905-F514-4f6f-8877-14C23A59335A}">
      <x14:table altTextSummary="Total Projected and Actual Costs, and Total Difference are auto calculated in this summary table"/>
    </ext>
  </extLst>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9709BE74-B350-4D00-99F0-094993486007}" name="Legal90103116129142155" displayName="Legal90103116129142155" ref="B56:F62" totalsRowCount="1" headerRowBorderDxfId="647">
  <autoFilter ref="B56:F61" xr:uid="{00000000-000C-0000-FFFF-FFFF0C000000}"/>
  <tableColumns count="5">
    <tableColumn id="1" xr3:uid="{C91D08A8-399B-4096-A46C-354D1EFB9261}" name="Legal" totalsRowLabel="Total" totalsRowDxfId="646"/>
    <tableColumn id="2" xr3:uid="{EB44FFCC-F009-4F5B-80C6-81E99CEAB01C}" name="Budgeted_x000a_cost" totalsRowFunction="sum" totalsRowDxfId="645"/>
    <tableColumn id="3" xr3:uid="{BACD6A8C-8E19-4B83-97AD-F5CEED1312DB}" name="Actual_x000a_cost" totalsRowFunction="sum" totalsRowDxfId="644"/>
    <tableColumn id="5" xr3:uid="{935F6704-D3F6-411F-9013-724BE61F9AEC}" name="Date due" dataDxfId="642" totalsRowDxfId="643" dataCellStyle="Amounts"/>
    <tableColumn id="4" xr3:uid="{87CAC928-CA99-45CA-B669-E2E9B2CC5D01}" name="Difference" totalsRowFunction="sum" totalsRowDxfId="641">
      <calculatedColumnFormula>Legal90103116129142155[[#This Row],[Budgeted
cost]]-Legal90103116129142155[[#This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C28828A3-2E3A-47A3-BC21-F21A14C7133B}" name="Gifts91104117130143156" displayName="Gifts91104117130143156" ref="H56:L60" totalsRowCount="1" headerRowBorderDxfId="640">
  <autoFilter ref="H56:L59" xr:uid="{00000000-000C-0000-FFFF-FFFF0B000000}"/>
  <tableColumns count="5">
    <tableColumn id="1" xr3:uid="{59B3AC82-6277-43AC-A420-E6E2B82DAB7F}" name="Gifts and donations" totalsRowLabel="Total" totalsRowDxfId="639"/>
    <tableColumn id="2" xr3:uid="{F18475ED-B44F-448F-87A3-FFC924B6C0CA}" name="Budgeted_x000a_cost" totalsRowFunction="sum" totalsRowDxfId="638"/>
    <tableColumn id="3" xr3:uid="{A1AA4844-7CC2-4932-AFC6-6EE3D6BEBF84}" name="Actual_x000a_cost" totalsRowFunction="sum" totalsRowDxfId="637"/>
    <tableColumn id="5" xr3:uid="{A73E7277-A7E0-4143-AB29-117D1DA3FE34}" name="Date due" dataDxfId="635" totalsRowDxfId="636" dataCellStyle="Amounts"/>
    <tableColumn id="4" xr3:uid="{333E009F-2790-4413-A9E5-1E020386EDCA}" name="Difference" totalsRowFunction="sum" totalsRowDxfId="634">
      <calculatedColumnFormula>Gifts91104117130143156[[#This Row],[Budgeted
cost]]-Gifts91104117130143156[[#This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A5B8D691-6BD0-4838-9E9E-C3EAD0779347}" name="Savings92105118131144157" displayName="Savings92105118131144157" ref="H2:L10" totalsRowCount="1" headerRowBorderDxfId="633">
  <autoFilter ref="H2:L9" xr:uid="{00000000-000C-0000-FFFF-FFFF0A000000}"/>
  <tableColumns count="5">
    <tableColumn id="1" xr3:uid="{D12231AE-8B55-4997-9DF8-66145419FC61}" name="Savings/investments" totalsRowLabel="Total" totalsRowDxfId="632"/>
    <tableColumn id="2" xr3:uid="{7C29489B-F895-414E-A08E-F14DDAA0CDF1}" name="Budgeted_x000a_cost" totalsRowFunction="sum" totalsRowDxfId="631"/>
    <tableColumn id="3" xr3:uid="{248392C4-6C04-43AF-99C4-3E440C3B4891}" name="Actual_x000a_cost" totalsRowFunction="sum" totalsRowDxfId="630"/>
    <tableColumn id="5" xr3:uid="{AD525EA6-F2AA-496B-958E-24903C67EBD8}" name="Date due" dataDxfId="628" totalsRowDxfId="629" dataCellStyle="Amounts"/>
    <tableColumn id="4" xr3:uid="{2491C2FA-20C4-4E74-A5E9-A5F4BD6E406F}" name="Difference" totalsRowFunction="sum" totalsRowDxfId="627">
      <calculatedColumnFormula>Savings92105118131144157[[#This Row],[Budgeted
cost]]-Savings92105118131144157[[#This Row],[Actual
cost]]</calculatedColumnFormula>
    </tableColumn>
  </tableColumns>
  <tableStyleInfo name="Monthly Family Budget" showFirstColumn="1"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PersonalCare" displayName="PersonalCare" ref="H15:L24" totalsRowCount="1" headerRowBorderDxfId="1265">
  <autoFilter ref="H15:L23" xr:uid="{00000000-000C-0000-FFFF-FFFF06000000}"/>
  <tableColumns count="5">
    <tableColumn id="1" xr3:uid="{00000000-0010-0000-0600-000001000000}" name="Personal care" totalsRowLabel="Total" totalsRowDxfId="1264"/>
    <tableColumn id="2" xr3:uid="{00000000-0010-0000-0600-000002000000}" name="Budgeted_x000a_cost" totalsRowFunction="sum" totalsRowDxfId="1263"/>
    <tableColumn id="3" xr3:uid="{00000000-0010-0000-0600-000003000000}" name="Actual_x000a_cost" totalsRowFunction="sum" totalsRowDxfId="1262"/>
    <tableColumn id="5" xr3:uid="{67E5CA31-8EDC-4A2B-B982-AC80EB544C53}" name="Date due" dataDxfId="1260" totalsRowDxfId="1261" dataCellStyle="Amounts"/>
    <tableColumn id="4" xr3:uid="{00000000-0010-0000-0600-000004000000}" name="Difference" totalsRowFunction="sum" totalsRowDxfId="1259">
      <calculatedColumnFormula>PersonalCare[[#This Row],[Budgeted
cost]]-PersonalCare[[#This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1076E1A9-6DD8-4A86-B070-49859E693644}" name="Taxes93106119132145158" displayName="Taxes93106119132145158" ref="H35:L40" totalsRowCount="1" headerRowBorderDxfId="626">
  <autoFilter ref="H35:L39" xr:uid="{00000000-000C-0000-FFFF-FFFF09000000}"/>
  <tableColumns count="5">
    <tableColumn id="1" xr3:uid="{BF9761EA-87FC-4132-BA36-4417D27870E6}" name="Taxes" totalsRowLabel="Total" totalsRowDxfId="625"/>
    <tableColumn id="2" xr3:uid="{879495C1-84BF-4CF4-BAE2-9B0A02C7DE80}" name="Budgeted _x000a_cost" totalsRowFunction="sum" totalsRowDxfId="624"/>
    <tableColumn id="3" xr3:uid="{0F4F21ED-927F-496B-A31B-05523A0FCEEA}" name="Actual _x000a_cost" totalsRowFunction="sum" totalsRowDxfId="623"/>
    <tableColumn id="5" xr3:uid="{600A1FF3-A4BC-40C2-8FEC-0FC1B132F382}" name="Date due" dataDxfId="621" totalsRowDxfId="622" dataCellStyle="Amounts"/>
    <tableColumn id="4" xr3:uid="{13A6035E-A864-4F83-AEE2-5F073C776679}" name="Difference" totalsRowFunction="sum" totalsRowDxfId="620">
      <calculatedColumnFormula>Taxes93106119132145158[[#This Row],[Budgeted 
cost]]-Taxes93106119132145158[[#This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9FCE98D0-884A-4CCB-B24C-92CE7E443A69}" name="Loans94107120133146159" displayName="Loans94107120133146159" ref="H43:L51" totalsRowCount="1" headerRowBorderDxfId="619">
  <autoFilter ref="H43:L50" xr:uid="{00000000-000C-0000-FFFF-FFFF08000000}"/>
  <tableColumns count="5">
    <tableColumn id="1" xr3:uid="{EA38490C-F426-425D-B29C-6D99CFDE1997}" name="Loans" totalsRowLabel="Total" totalsRowDxfId="618"/>
    <tableColumn id="2" xr3:uid="{0B430553-FD6E-49B5-BAA8-BBF0F8E660C3}" name="Budgeted_x000a_cost" totalsRowFunction="sum" totalsRowDxfId="617"/>
    <tableColumn id="3" xr3:uid="{CDADD416-C04D-4C5C-A380-8FD97989877D}" name="Actual_x000a_cost" totalsRowFunction="sum" totalsRowDxfId="616"/>
    <tableColumn id="5" xr3:uid="{CA0B74E0-400A-4514-B72C-636D4AE50C99}" name="Date due" dataDxfId="614" totalsRowDxfId="615" dataCellStyle="Amounts"/>
    <tableColumn id="4" xr3:uid="{83416C71-A137-4663-93CC-2DB923F18C3E}" name="Difference" totalsRowFunction="sum" totalsRowDxfId="613">
      <calculatedColumnFormula>Loans94107120133146159[[#This Row],[Budgeted
cost]]-Loans94107120133146159[[#This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EACFC6B3-2F45-4244-BF24-4A16A67B2DF5}" name="Entertainment95108121134147160" displayName="Entertainment95108121134147160" ref="B64:F72" totalsRowCount="1" headerRowBorderDxfId="612">
  <autoFilter ref="B64:F71" xr:uid="{00000000-000C-0000-FFFF-FFFF07000000}"/>
  <tableColumns count="5">
    <tableColumn id="1" xr3:uid="{C1477A26-4B20-43EC-842F-4785BEEBC830}" name="Entertainment" totalsRowLabel="Total" totalsRowDxfId="611"/>
    <tableColumn id="2" xr3:uid="{815D01CD-5CA1-44B4-B6DF-E12BE2EB2A3F}" name="Budgeted_x000a_cost" totalsRowFunction="sum" totalsRowDxfId="610"/>
    <tableColumn id="3" xr3:uid="{2F84DF66-4BA5-47AE-B896-205814215894}" name="Actual_x000a_cost" totalsRowFunction="sum" totalsRowDxfId="609"/>
    <tableColumn id="5" xr3:uid="{2C110D06-3847-4EAA-8D5E-C2B10B033732}" name="Date due" dataDxfId="607" totalsRowDxfId="608" dataCellStyle="Amounts"/>
    <tableColumn id="4" xr3:uid="{22CE74F4-D63E-48A1-BC5D-5A8450D0B922}" name="Difference" totalsRowFunction="sum" totalsRowDxfId="606">
      <calculatedColumnFormula>Entertainment95108121134147160[[#This Row],[Budgeted
cost]]-Entertainment95108121134147160[[#This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948C3841-47A1-45F8-9F15-7D07BA78D2B0}" name="PersonalCare96109122135148161" displayName="PersonalCare96109122135148161" ref="H15:L24" totalsRowCount="1" headerRowBorderDxfId="605">
  <autoFilter ref="H15:L23" xr:uid="{00000000-000C-0000-FFFF-FFFF06000000}"/>
  <tableColumns count="5">
    <tableColumn id="1" xr3:uid="{1A858448-F90E-4B83-967B-8C7D423F6683}" name="Personal care" totalsRowLabel="Total" totalsRowDxfId="604"/>
    <tableColumn id="2" xr3:uid="{13614752-F15F-4DF4-A622-4678FBD8B828}" name="Budgeted_x000a_cost" totalsRowFunction="sum" totalsRowDxfId="603"/>
    <tableColumn id="3" xr3:uid="{7D1E511D-C45C-45DC-8192-9DF60E0FA882}" name="Actual_x000a_cost" totalsRowFunction="sum" totalsRowDxfId="602"/>
    <tableColumn id="5" xr3:uid="{FF6206AB-E5F3-4E0B-A556-BEC14140DFEC}" name="Date due" dataDxfId="600" totalsRowDxfId="601" dataCellStyle="Amounts"/>
    <tableColumn id="4" xr3:uid="{7D8C72A7-45C6-492F-B153-08A22D8D56D7}" name="Difference" totalsRowFunction="sum" totalsRowDxfId="599">
      <calculatedColumnFormula>PersonalCare96109122135148161[[#This Row],[Budgeted
cost]]-PersonalCare96109122135148161[[#This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823B915D-6C0C-4BFF-A307-AA5BF068570C}" name="Pets97110123136149162" displayName="Pets97110123136149162" ref="H27:L33" totalsRowCount="1" headerRowBorderDxfId="598">
  <autoFilter ref="H27:L32" xr:uid="{00000000-000C-0000-FFFF-FFFF05000000}"/>
  <tableColumns count="5">
    <tableColumn id="1" xr3:uid="{FE2A36DF-6953-49EF-9928-1B466B38E055}" name="Pets" totalsRowLabel="Total" totalsRowDxfId="597"/>
    <tableColumn id="2" xr3:uid="{75E2DCB3-0A6A-46B4-8363-8E8250345207}" name="Budgeted_x000a_cost" totalsRowFunction="sum" totalsRowDxfId="596"/>
    <tableColumn id="3" xr3:uid="{E664A159-003E-42C4-964C-4F5E706AC5F3}" name="Actual_x000a_cost" totalsRowFunction="sum" totalsRowDxfId="595"/>
    <tableColumn id="5" xr3:uid="{42A5C263-41A3-4A6C-B305-BB99C7C54462}" name="Date due" dataDxfId="593" totalsRowDxfId="594" dataCellStyle="Amounts"/>
    <tableColumn id="4" xr3:uid="{D6FC7FB8-3A26-4A3E-9684-0FB825D7FAE5}" name="Difference" totalsRowFunction="sum" totalsRowDxfId="592">
      <calculatedColumnFormula>Pets97110123136149162[[#This Row],[Budgeted
cost]]-Pets97110123136149162[[#This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91709B73-5D65-46CB-BFFD-92CE8B8C3826}" name="Children98111124137150163" displayName="Children98111124137150163" ref="B43:F54" totalsRowCount="1" headerRowBorderDxfId="591">
  <autoFilter ref="B43:F53" xr:uid="{00000000-000C-0000-FFFF-FFFF04000000}"/>
  <tableColumns count="5">
    <tableColumn id="1" xr3:uid="{6CACE28E-31A0-455B-BDEF-CF840F13933C}" name="Children" totalsRowLabel="Total" totalsRowDxfId="590"/>
    <tableColumn id="2" xr3:uid="{F9809868-B2EE-42FD-9548-0C75B18B0C94}" name="Budgeted_x000a_cost" totalsRowFunction="sum" totalsRowDxfId="589"/>
    <tableColumn id="3" xr3:uid="{0DD25DA6-7608-4039-824C-A5B0109E3F1B}" name="Actual_x000a_cost" totalsRowFunction="sum" totalsRowDxfId="588"/>
    <tableColumn id="5" xr3:uid="{48EF6597-8AD4-4CAD-B798-DC9EDFD19AA0}" name="Date due" dataDxfId="586" totalsRowDxfId="587" dataCellStyle="Amounts"/>
    <tableColumn id="4" xr3:uid="{E0C8005B-AE96-4E67-8571-D8A9D9E8EA8D}" name="Difference" totalsRowFunction="sum" totalsRowDxfId="585">
      <calculatedColumnFormula>Children98111124137150163[[#This Row],[Budgeted
cost]]-Children98111124137150163[[#This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302B93E6-B50B-49D1-BBFF-1D29D004FB47}" name="Food99112125138151164" displayName="Food99112125138151164" ref="B35:F41" totalsRowCount="1" headerRowBorderDxfId="584">
  <autoFilter ref="B35:F40" xr:uid="{00000000-000C-0000-FFFF-FFFF03000000}"/>
  <tableColumns count="5">
    <tableColumn id="1" xr3:uid="{24D579F1-7E81-4A45-BF48-BE813F993484}" name="Food" totalsRowLabel="Total" totalsRowDxfId="583"/>
    <tableColumn id="2" xr3:uid="{9C711933-9347-4A9C-8BF4-F0EC627D7C98}" name="Budgeted_x000a_cost" totalsRowFunction="sum" totalsRowDxfId="582"/>
    <tableColumn id="3" xr3:uid="{B6DB7669-E24B-4F33-8A58-A63FAD34462A}" name="Actual_x000a_cost" totalsRowFunction="sum" totalsRowDxfId="581"/>
    <tableColumn id="6" xr3:uid="{1B107ADD-52BF-487B-9FB1-BA440F4DFDD7}" name="Date due" dataDxfId="579" totalsRowDxfId="580" dataCellStyle="Amounts"/>
    <tableColumn id="4" xr3:uid="{3BD3FF14-6302-4A67-ADE3-984809C4B056}" name="Difference" totalsRowFunction="sum" totalsRowDxfId="578">
      <calculatedColumnFormula>Food99112125138151164[[#This Row],[Budgeted
cost]]-Food99112125138151164[[#This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AEA4886C-B0CA-4A5C-AAF1-02BEDB398345}" name="Insurance100113126139152165" displayName="Insurance100113126139152165" ref="B27:F33" totalsRowCount="1" headerRowBorderDxfId="577">
  <autoFilter ref="B27:F32" xr:uid="{00000000-000C-0000-FFFF-FFFF02000000}"/>
  <tableColumns count="5">
    <tableColumn id="1" xr3:uid="{E7960632-8379-4A44-9D57-BF68F665C1A9}" name="Insurance" totalsRowLabel="Total" totalsRowDxfId="576"/>
    <tableColumn id="2" xr3:uid="{CD63006D-35A3-4256-8C51-A3A929B760ED}" name="Budgeted_x000a_cost" totalsRowFunction="sum" totalsRowDxfId="575"/>
    <tableColumn id="3" xr3:uid="{00E66E20-0877-4A1B-AD21-1ADBA9AE578F}" name="Actual_x000a_cost" totalsRowFunction="sum" totalsRowDxfId="574"/>
    <tableColumn id="5" xr3:uid="{00E321C3-971B-4B7D-B25B-75F354A7FF1B}" name="Date due" dataDxfId="572" totalsRowDxfId="573" dataCellStyle="Amounts"/>
    <tableColumn id="4" xr3:uid="{CCEB42FD-DD78-4915-AB80-696FDB91A08D}" name="Difference" totalsRowFunction="sum" totalsRowDxfId="571">
      <calculatedColumnFormula>Insurance100113126139152165[[#This Row],[Budgeted
cost]]-Insurance100113126139152165[[#This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3697E6BA-F282-4A31-831F-35493B36A79C}" name="Transportation101114127140153166" displayName="Transportation101114127140153166" ref="B15:F25" totalsRowCount="1" headerRowBorderDxfId="570">
  <autoFilter ref="B15:F24" xr:uid="{00000000-000C-0000-FFFF-FFFF01000000}"/>
  <tableColumns count="5">
    <tableColumn id="1" xr3:uid="{A6F18409-731D-4F1A-95B7-E9F57420458B}" name="Transportation" totalsRowLabel="Total" totalsRowDxfId="569"/>
    <tableColumn id="2" xr3:uid="{0F5233D7-B6A7-4BCF-913D-E57927DADEBD}" name="Budgeted_x000a_cost" totalsRowFunction="sum" totalsRowDxfId="568"/>
    <tableColumn id="3" xr3:uid="{335BD964-0CC1-402F-B858-F18E3F73EFAB}" name="Actual_x000a_cost" totalsRowFunction="sum" totalsRowDxfId="567"/>
    <tableColumn id="6" xr3:uid="{3962956B-2D22-4CCE-9643-76F1FA71123C}" name="Date due" dataDxfId="565" totalsRowDxfId="566" dataCellStyle="Amounts"/>
    <tableColumn id="4" xr3:uid="{F3BE0F4C-E58E-4544-9264-8885D43585BE}" name="Difference" totalsRowFunction="sum" totalsRowDxfId="564">
      <calculatedColumnFormula>Transportation101114127140153166[[#This Row],[Budgeted
cost]]-Transportation101114127140153166[[#This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D436563A-C5AA-468F-B61A-D6C91D1BBB92}" name="Housing102115128141154167" displayName="Housing102115128141154167" ref="B2:F13" totalsRowCount="1" headerRowDxfId="563" dataDxfId="562" totalsRowDxfId="561" headerRowBorderDxfId="559" tableBorderDxfId="560" dataCellStyle="Amounts">
  <autoFilter ref="B2:F12" xr:uid="{00000000-000C-0000-FFFF-FFFF00000000}"/>
  <tableColumns count="5">
    <tableColumn id="1" xr3:uid="{9E3D5424-8DAA-45A8-8921-9A9102B2D684}" name="Housing" totalsRowLabel="Total" dataDxfId="557" totalsRowDxfId="558"/>
    <tableColumn id="2" xr3:uid="{9898097E-0E41-415C-8846-D88A1A002A65}" name="Budgeted_x000a_cost" totalsRowFunction="sum" dataDxfId="555" totalsRowDxfId="556" dataCellStyle="Amounts"/>
    <tableColumn id="3" xr3:uid="{9ACCABB5-6BD8-483F-A464-C109A6F0A2DF}" name="Actual_x000a_cost" totalsRowFunction="sum" dataDxfId="553" totalsRowDxfId="554" dataCellStyle="Amounts"/>
    <tableColumn id="5" xr3:uid="{1A465BF8-47C8-4084-96F6-B970C6AEE202}" name="Date due" dataDxfId="552" dataCellStyle="Amounts"/>
    <tableColumn id="4" xr3:uid="{EDA86372-FC22-4D2D-A207-27138A98EF9C}" name="Difference" totalsRowFunction="sum" dataDxfId="550" totalsRowDxfId="551" dataCellStyle="Amounts">
      <calculatedColumnFormula>Housing102115128141154167[[#This Row],[Budgeted
cost]]-Housing102115128141154167[[#This Row],[Actual
cost]]</calculatedColumnFormula>
    </tableColumn>
  </tableColumns>
  <tableStyleInfo name="Monthly Family Budget" showFirstColumn="0" showLastColumn="0" showRowStripes="1" showColumnStripes="0"/>
  <extLst>
    <ext xmlns:x14="http://schemas.microsoft.com/office/spreadsheetml/2009/9/main" uri="{504A1905-F514-4f6f-8877-14C23A59335A}">
      <x14:table altTextSummary="Sample expense category and sample expenses related to the sample category are in this table. Enter projected and actual costs. The difference is auto calculated"/>
    </ext>
  </extLst>
</table>
</file>

<file path=xl/theme/theme1.xml><?xml version="1.0" encoding="utf-8"?>
<a:theme xmlns:a="http://schemas.openxmlformats.org/drawingml/2006/main" name="Vapor Trail">
  <a:themeElements>
    <a:clrScheme name="Custom 1">
      <a:dk1>
        <a:srgbClr val="231F20"/>
      </a:dk1>
      <a:lt1>
        <a:srgbClr val="FFFFFF"/>
      </a:lt1>
      <a:dk2>
        <a:srgbClr val="292E7C"/>
      </a:dk2>
      <a:lt2>
        <a:srgbClr val="F2F2F2"/>
      </a:lt2>
      <a:accent1>
        <a:srgbClr val="0D65A0"/>
      </a:accent1>
      <a:accent2>
        <a:srgbClr val="62A744"/>
      </a:accent2>
      <a:accent3>
        <a:srgbClr val="D0D3D4"/>
      </a:accent3>
      <a:accent4>
        <a:srgbClr val="369CD6"/>
      </a:accent4>
      <a:accent5>
        <a:srgbClr val="004B77"/>
      </a:accent5>
      <a:accent6>
        <a:srgbClr val="0F253E"/>
      </a:accent6>
      <a:hlink>
        <a:srgbClr val="369CD6"/>
      </a:hlink>
      <a:folHlink>
        <a:srgbClr val="F6B33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Vapor Trail">
      <a:fillStyleLst>
        <a:solidFill>
          <a:schemeClr val="phClr"/>
        </a:solidFill>
        <a:gradFill rotWithShape="1">
          <a:gsLst>
            <a:gs pos="0">
              <a:schemeClr val="phClr">
                <a:tint val="69000"/>
                <a:alpha val="100000"/>
                <a:satMod val="109000"/>
                <a:lumMod val="110000"/>
              </a:schemeClr>
            </a:gs>
            <a:gs pos="52000">
              <a:schemeClr val="phClr">
                <a:tint val="74000"/>
                <a:satMod val="100000"/>
                <a:lumMod val="104000"/>
              </a:schemeClr>
            </a:gs>
            <a:gs pos="100000">
              <a:schemeClr val="phClr">
                <a:tint val="78000"/>
                <a:satMod val="100000"/>
                <a:lumMod val="100000"/>
              </a:schemeClr>
            </a:gs>
          </a:gsLst>
          <a:lin ang="5400000" scaled="0"/>
        </a:gradFill>
        <a:gradFill rotWithShape="1">
          <a:gsLst>
            <a:gs pos="0">
              <a:schemeClr val="phClr">
                <a:tint val="96000"/>
                <a:satMod val="100000"/>
                <a:lumMod val="104000"/>
              </a:schemeClr>
            </a:gs>
            <a:gs pos="78000">
              <a:schemeClr val="phClr">
                <a:shade val="100000"/>
                <a:satMod val="110000"/>
                <a:lumMod val="100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scene3d>
            <a:camera prst="orthographicFront">
              <a:rot lat="0" lon="0" rev="0"/>
            </a:camera>
            <a:lightRig rig="threePt" dir="t"/>
          </a:scene3d>
          <a:sp3d>
            <a:bevelT w="25400" h="12700"/>
          </a:sp3d>
        </a:effectStyle>
        <a:effectStyle>
          <a:effectLst>
            <a:outerShdw blurRad="57150" dist="19050" dir="5400000" algn="ctr" rotWithShape="0">
              <a:srgbClr val="000000">
                <a:alpha val="48000"/>
              </a:srgbClr>
            </a:outerShdw>
          </a:effectLst>
          <a:scene3d>
            <a:camera prst="orthographicFront">
              <a:rot lat="0" lon="0" rev="0"/>
            </a:camera>
            <a:lightRig rig="threePt" dir="t"/>
          </a:scene3d>
          <a:sp3d>
            <a:bevelT w="50800" h="25400"/>
          </a:sp3d>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apor Trail" id="{4FDF2955-7D9C-493C-B9F9-C205151B46CD}" vid="{8F31A783-2159-4870-BC29-2BA7D038EA44}"/>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58.x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table" Target="../tables/table64.xml"/><Relationship Id="rId13" Type="http://schemas.openxmlformats.org/officeDocument/2006/relationships/table" Target="../tables/table69.xml"/><Relationship Id="rId3" Type="http://schemas.openxmlformats.org/officeDocument/2006/relationships/table" Target="../tables/table59.xml"/><Relationship Id="rId7" Type="http://schemas.openxmlformats.org/officeDocument/2006/relationships/table" Target="../tables/table63.xml"/><Relationship Id="rId12" Type="http://schemas.openxmlformats.org/officeDocument/2006/relationships/table" Target="../tables/table68.xml"/><Relationship Id="rId2" Type="http://schemas.openxmlformats.org/officeDocument/2006/relationships/vmlDrawing" Target="../drawings/vmlDrawing5.vml"/><Relationship Id="rId1" Type="http://schemas.openxmlformats.org/officeDocument/2006/relationships/printerSettings" Target="../printerSettings/printerSettings11.bin"/><Relationship Id="rId6" Type="http://schemas.openxmlformats.org/officeDocument/2006/relationships/table" Target="../tables/table62.xml"/><Relationship Id="rId11" Type="http://schemas.openxmlformats.org/officeDocument/2006/relationships/table" Target="../tables/table67.xml"/><Relationship Id="rId5" Type="http://schemas.openxmlformats.org/officeDocument/2006/relationships/table" Target="../tables/table61.xml"/><Relationship Id="rId15" Type="http://schemas.openxmlformats.org/officeDocument/2006/relationships/table" Target="../tables/table71.xml"/><Relationship Id="rId10" Type="http://schemas.openxmlformats.org/officeDocument/2006/relationships/table" Target="../tables/table66.xml"/><Relationship Id="rId4" Type="http://schemas.openxmlformats.org/officeDocument/2006/relationships/table" Target="../tables/table60.xml"/><Relationship Id="rId9" Type="http://schemas.openxmlformats.org/officeDocument/2006/relationships/table" Target="../tables/table65.xml"/><Relationship Id="rId14" Type="http://schemas.openxmlformats.org/officeDocument/2006/relationships/table" Target="../tables/table7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72.x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table" Target="../tables/table78.xml"/><Relationship Id="rId13" Type="http://schemas.openxmlformats.org/officeDocument/2006/relationships/table" Target="../tables/table83.xml"/><Relationship Id="rId3" Type="http://schemas.openxmlformats.org/officeDocument/2006/relationships/table" Target="../tables/table73.xml"/><Relationship Id="rId7" Type="http://schemas.openxmlformats.org/officeDocument/2006/relationships/table" Target="../tables/table77.xml"/><Relationship Id="rId12" Type="http://schemas.openxmlformats.org/officeDocument/2006/relationships/table" Target="../tables/table82.xml"/><Relationship Id="rId2" Type="http://schemas.openxmlformats.org/officeDocument/2006/relationships/vmlDrawing" Target="../drawings/vmlDrawing6.vml"/><Relationship Id="rId1" Type="http://schemas.openxmlformats.org/officeDocument/2006/relationships/printerSettings" Target="../printerSettings/printerSettings13.bin"/><Relationship Id="rId6" Type="http://schemas.openxmlformats.org/officeDocument/2006/relationships/table" Target="../tables/table76.xml"/><Relationship Id="rId11" Type="http://schemas.openxmlformats.org/officeDocument/2006/relationships/table" Target="../tables/table81.xml"/><Relationship Id="rId5" Type="http://schemas.openxmlformats.org/officeDocument/2006/relationships/table" Target="../tables/table75.xml"/><Relationship Id="rId15" Type="http://schemas.openxmlformats.org/officeDocument/2006/relationships/table" Target="../tables/table85.xml"/><Relationship Id="rId10" Type="http://schemas.openxmlformats.org/officeDocument/2006/relationships/table" Target="../tables/table80.xml"/><Relationship Id="rId4" Type="http://schemas.openxmlformats.org/officeDocument/2006/relationships/table" Target="../tables/table74.xml"/><Relationship Id="rId9" Type="http://schemas.openxmlformats.org/officeDocument/2006/relationships/table" Target="../tables/table79.xml"/><Relationship Id="rId14" Type="http://schemas.openxmlformats.org/officeDocument/2006/relationships/table" Target="../tables/table84.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86.xml"/><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table" Target="../tables/table92.xml"/><Relationship Id="rId13" Type="http://schemas.openxmlformats.org/officeDocument/2006/relationships/table" Target="../tables/table97.xml"/><Relationship Id="rId3" Type="http://schemas.openxmlformats.org/officeDocument/2006/relationships/table" Target="../tables/table87.xml"/><Relationship Id="rId7" Type="http://schemas.openxmlformats.org/officeDocument/2006/relationships/table" Target="../tables/table91.xml"/><Relationship Id="rId12" Type="http://schemas.openxmlformats.org/officeDocument/2006/relationships/table" Target="../tables/table96.x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6" Type="http://schemas.openxmlformats.org/officeDocument/2006/relationships/table" Target="../tables/table90.xml"/><Relationship Id="rId11" Type="http://schemas.openxmlformats.org/officeDocument/2006/relationships/table" Target="../tables/table95.xml"/><Relationship Id="rId5" Type="http://schemas.openxmlformats.org/officeDocument/2006/relationships/table" Target="../tables/table89.xml"/><Relationship Id="rId15" Type="http://schemas.openxmlformats.org/officeDocument/2006/relationships/table" Target="../tables/table99.xml"/><Relationship Id="rId10" Type="http://schemas.openxmlformats.org/officeDocument/2006/relationships/table" Target="../tables/table94.xml"/><Relationship Id="rId4" Type="http://schemas.openxmlformats.org/officeDocument/2006/relationships/table" Target="../tables/table88.xml"/><Relationship Id="rId9" Type="http://schemas.openxmlformats.org/officeDocument/2006/relationships/table" Target="../tables/table93.xml"/><Relationship Id="rId14" Type="http://schemas.openxmlformats.org/officeDocument/2006/relationships/table" Target="../tables/table98.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00.xml"/><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table" Target="../tables/table106.xml"/><Relationship Id="rId13" Type="http://schemas.openxmlformats.org/officeDocument/2006/relationships/table" Target="../tables/table111.xml"/><Relationship Id="rId3" Type="http://schemas.openxmlformats.org/officeDocument/2006/relationships/table" Target="../tables/table101.xml"/><Relationship Id="rId7" Type="http://schemas.openxmlformats.org/officeDocument/2006/relationships/table" Target="../tables/table105.xml"/><Relationship Id="rId12" Type="http://schemas.openxmlformats.org/officeDocument/2006/relationships/table" Target="../tables/table110.xml"/><Relationship Id="rId2" Type="http://schemas.openxmlformats.org/officeDocument/2006/relationships/vmlDrawing" Target="../drawings/vmlDrawing8.vml"/><Relationship Id="rId1" Type="http://schemas.openxmlformats.org/officeDocument/2006/relationships/printerSettings" Target="../printerSettings/printerSettings17.bin"/><Relationship Id="rId6" Type="http://schemas.openxmlformats.org/officeDocument/2006/relationships/table" Target="../tables/table104.xml"/><Relationship Id="rId11" Type="http://schemas.openxmlformats.org/officeDocument/2006/relationships/table" Target="../tables/table109.xml"/><Relationship Id="rId5" Type="http://schemas.openxmlformats.org/officeDocument/2006/relationships/table" Target="../tables/table103.xml"/><Relationship Id="rId15" Type="http://schemas.openxmlformats.org/officeDocument/2006/relationships/table" Target="../tables/table113.xml"/><Relationship Id="rId10" Type="http://schemas.openxmlformats.org/officeDocument/2006/relationships/table" Target="../tables/table108.xml"/><Relationship Id="rId4" Type="http://schemas.openxmlformats.org/officeDocument/2006/relationships/table" Target="../tables/table102.xml"/><Relationship Id="rId9" Type="http://schemas.openxmlformats.org/officeDocument/2006/relationships/table" Target="../tables/table107.xml"/><Relationship Id="rId14" Type="http://schemas.openxmlformats.org/officeDocument/2006/relationships/table" Target="../tables/table112.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14.xml"/><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table" Target="../tables/table120.xml"/><Relationship Id="rId13" Type="http://schemas.openxmlformats.org/officeDocument/2006/relationships/table" Target="../tables/table125.xml"/><Relationship Id="rId3" Type="http://schemas.openxmlformats.org/officeDocument/2006/relationships/table" Target="../tables/table115.xml"/><Relationship Id="rId7" Type="http://schemas.openxmlformats.org/officeDocument/2006/relationships/table" Target="../tables/table119.xml"/><Relationship Id="rId12" Type="http://schemas.openxmlformats.org/officeDocument/2006/relationships/table" Target="../tables/table124.xml"/><Relationship Id="rId2" Type="http://schemas.openxmlformats.org/officeDocument/2006/relationships/vmlDrawing" Target="../drawings/vmlDrawing9.vml"/><Relationship Id="rId1" Type="http://schemas.openxmlformats.org/officeDocument/2006/relationships/printerSettings" Target="../printerSettings/printerSettings19.bin"/><Relationship Id="rId6" Type="http://schemas.openxmlformats.org/officeDocument/2006/relationships/table" Target="../tables/table118.xml"/><Relationship Id="rId11" Type="http://schemas.openxmlformats.org/officeDocument/2006/relationships/table" Target="../tables/table123.xml"/><Relationship Id="rId5" Type="http://schemas.openxmlformats.org/officeDocument/2006/relationships/table" Target="../tables/table117.xml"/><Relationship Id="rId15" Type="http://schemas.openxmlformats.org/officeDocument/2006/relationships/table" Target="../tables/table127.xml"/><Relationship Id="rId10" Type="http://schemas.openxmlformats.org/officeDocument/2006/relationships/table" Target="../tables/table122.xml"/><Relationship Id="rId4" Type="http://schemas.openxmlformats.org/officeDocument/2006/relationships/table" Target="../tables/table116.xml"/><Relationship Id="rId9" Type="http://schemas.openxmlformats.org/officeDocument/2006/relationships/table" Target="../tables/table121.xml"/><Relationship Id="rId14" Type="http://schemas.openxmlformats.org/officeDocument/2006/relationships/table" Target="../tables/table126.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28.xml"/><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table" Target="../tables/table134.xml"/><Relationship Id="rId13" Type="http://schemas.openxmlformats.org/officeDocument/2006/relationships/table" Target="../tables/table139.xml"/><Relationship Id="rId3" Type="http://schemas.openxmlformats.org/officeDocument/2006/relationships/table" Target="../tables/table129.xml"/><Relationship Id="rId7" Type="http://schemas.openxmlformats.org/officeDocument/2006/relationships/table" Target="../tables/table133.xml"/><Relationship Id="rId12" Type="http://schemas.openxmlformats.org/officeDocument/2006/relationships/table" Target="../tables/table138.xml"/><Relationship Id="rId2" Type="http://schemas.openxmlformats.org/officeDocument/2006/relationships/vmlDrawing" Target="../drawings/vmlDrawing10.vml"/><Relationship Id="rId1" Type="http://schemas.openxmlformats.org/officeDocument/2006/relationships/printerSettings" Target="../printerSettings/printerSettings21.bin"/><Relationship Id="rId6" Type="http://schemas.openxmlformats.org/officeDocument/2006/relationships/table" Target="../tables/table132.xml"/><Relationship Id="rId11" Type="http://schemas.openxmlformats.org/officeDocument/2006/relationships/table" Target="../tables/table137.xml"/><Relationship Id="rId5" Type="http://schemas.openxmlformats.org/officeDocument/2006/relationships/table" Target="../tables/table131.xml"/><Relationship Id="rId15" Type="http://schemas.openxmlformats.org/officeDocument/2006/relationships/table" Target="../tables/table141.xml"/><Relationship Id="rId10" Type="http://schemas.openxmlformats.org/officeDocument/2006/relationships/table" Target="../tables/table136.xml"/><Relationship Id="rId4" Type="http://schemas.openxmlformats.org/officeDocument/2006/relationships/table" Target="../tables/table130.xml"/><Relationship Id="rId9" Type="http://schemas.openxmlformats.org/officeDocument/2006/relationships/table" Target="../tables/table135.xml"/><Relationship Id="rId14" Type="http://schemas.openxmlformats.org/officeDocument/2006/relationships/table" Target="../tables/table140.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142.xml"/><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table" Target="../tables/table148.xml"/><Relationship Id="rId13" Type="http://schemas.openxmlformats.org/officeDocument/2006/relationships/table" Target="../tables/table153.xml"/><Relationship Id="rId3" Type="http://schemas.openxmlformats.org/officeDocument/2006/relationships/table" Target="../tables/table143.xml"/><Relationship Id="rId7" Type="http://schemas.openxmlformats.org/officeDocument/2006/relationships/table" Target="../tables/table147.xml"/><Relationship Id="rId12" Type="http://schemas.openxmlformats.org/officeDocument/2006/relationships/table" Target="../tables/table152.xml"/><Relationship Id="rId2" Type="http://schemas.openxmlformats.org/officeDocument/2006/relationships/vmlDrawing" Target="../drawings/vmlDrawing11.vml"/><Relationship Id="rId1" Type="http://schemas.openxmlformats.org/officeDocument/2006/relationships/printerSettings" Target="../printerSettings/printerSettings23.bin"/><Relationship Id="rId6" Type="http://schemas.openxmlformats.org/officeDocument/2006/relationships/table" Target="../tables/table146.xml"/><Relationship Id="rId11" Type="http://schemas.openxmlformats.org/officeDocument/2006/relationships/table" Target="../tables/table151.xml"/><Relationship Id="rId5" Type="http://schemas.openxmlformats.org/officeDocument/2006/relationships/table" Target="../tables/table145.xml"/><Relationship Id="rId15" Type="http://schemas.openxmlformats.org/officeDocument/2006/relationships/table" Target="../tables/table155.xml"/><Relationship Id="rId10" Type="http://schemas.openxmlformats.org/officeDocument/2006/relationships/table" Target="../tables/table150.xml"/><Relationship Id="rId4" Type="http://schemas.openxmlformats.org/officeDocument/2006/relationships/table" Target="../tables/table144.xml"/><Relationship Id="rId9" Type="http://schemas.openxmlformats.org/officeDocument/2006/relationships/table" Target="../tables/table149.xml"/><Relationship Id="rId14" Type="http://schemas.openxmlformats.org/officeDocument/2006/relationships/table" Target="../tables/table154.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156.xml"/><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table" Target="../tables/table162.xml"/><Relationship Id="rId13" Type="http://schemas.openxmlformats.org/officeDocument/2006/relationships/table" Target="../tables/table167.xml"/><Relationship Id="rId3" Type="http://schemas.openxmlformats.org/officeDocument/2006/relationships/table" Target="../tables/table157.xml"/><Relationship Id="rId7" Type="http://schemas.openxmlformats.org/officeDocument/2006/relationships/table" Target="../tables/table161.xml"/><Relationship Id="rId12" Type="http://schemas.openxmlformats.org/officeDocument/2006/relationships/table" Target="../tables/table166.xml"/><Relationship Id="rId2" Type="http://schemas.openxmlformats.org/officeDocument/2006/relationships/vmlDrawing" Target="../drawings/vmlDrawing12.vml"/><Relationship Id="rId1" Type="http://schemas.openxmlformats.org/officeDocument/2006/relationships/printerSettings" Target="../printerSettings/printerSettings25.bin"/><Relationship Id="rId6" Type="http://schemas.openxmlformats.org/officeDocument/2006/relationships/table" Target="../tables/table160.xml"/><Relationship Id="rId11" Type="http://schemas.openxmlformats.org/officeDocument/2006/relationships/table" Target="../tables/table165.xml"/><Relationship Id="rId5" Type="http://schemas.openxmlformats.org/officeDocument/2006/relationships/table" Target="../tables/table159.xml"/><Relationship Id="rId15" Type="http://schemas.openxmlformats.org/officeDocument/2006/relationships/table" Target="../tables/table169.xml"/><Relationship Id="rId10" Type="http://schemas.openxmlformats.org/officeDocument/2006/relationships/table" Target="../tables/table164.xml"/><Relationship Id="rId4" Type="http://schemas.openxmlformats.org/officeDocument/2006/relationships/table" Target="../tables/table158.xml"/><Relationship Id="rId9" Type="http://schemas.openxmlformats.org/officeDocument/2006/relationships/table" Target="../tables/table163.xml"/><Relationship Id="rId14" Type="http://schemas.openxmlformats.org/officeDocument/2006/relationships/table" Target="../tables/table168.xml"/></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table" Target="../tables/table17.xml"/><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5" Type="http://schemas.openxmlformats.org/officeDocument/2006/relationships/table" Target="../tables/table29.xml"/><Relationship Id="rId10" Type="http://schemas.openxmlformats.org/officeDocument/2006/relationships/table" Target="../tables/table24.xml"/><Relationship Id="rId4" Type="http://schemas.openxmlformats.org/officeDocument/2006/relationships/table" Target="../tables/table18.xml"/><Relationship Id="rId9" Type="http://schemas.openxmlformats.org/officeDocument/2006/relationships/table" Target="../tables/table23.xml"/><Relationship Id="rId14" Type="http://schemas.openxmlformats.org/officeDocument/2006/relationships/table" Target="../tables/table2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36.xml"/><Relationship Id="rId13" Type="http://schemas.openxmlformats.org/officeDocument/2006/relationships/table" Target="../tables/table41.xml"/><Relationship Id="rId3" Type="http://schemas.openxmlformats.org/officeDocument/2006/relationships/table" Target="../tables/table31.xml"/><Relationship Id="rId7" Type="http://schemas.openxmlformats.org/officeDocument/2006/relationships/table" Target="../tables/table35.xml"/><Relationship Id="rId12" Type="http://schemas.openxmlformats.org/officeDocument/2006/relationships/table" Target="../tables/table40.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6" Type="http://schemas.openxmlformats.org/officeDocument/2006/relationships/table" Target="../tables/table34.xml"/><Relationship Id="rId11" Type="http://schemas.openxmlformats.org/officeDocument/2006/relationships/table" Target="../tables/table39.xml"/><Relationship Id="rId5" Type="http://schemas.openxmlformats.org/officeDocument/2006/relationships/table" Target="../tables/table33.xml"/><Relationship Id="rId15" Type="http://schemas.openxmlformats.org/officeDocument/2006/relationships/table" Target="../tables/table43.xml"/><Relationship Id="rId10" Type="http://schemas.openxmlformats.org/officeDocument/2006/relationships/table" Target="../tables/table38.xml"/><Relationship Id="rId4" Type="http://schemas.openxmlformats.org/officeDocument/2006/relationships/table" Target="../tables/table32.xml"/><Relationship Id="rId9" Type="http://schemas.openxmlformats.org/officeDocument/2006/relationships/table" Target="../tables/table37.xml"/><Relationship Id="rId14" Type="http://schemas.openxmlformats.org/officeDocument/2006/relationships/table" Target="../tables/table42.xml"/></Relationships>
</file>

<file path=xl/worksheets/_rels/sheet8.xml.rels><?xml version="1.0" encoding="UTF-8" standalone="yes"?>
<Relationships xmlns="http://schemas.openxmlformats.org/package/2006/relationships"><Relationship Id="rId3" Type="http://schemas.openxmlformats.org/officeDocument/2006/relationships/table" Target="../tables/table44.x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table" Target="../tables/table50.xml"/><Relationship Id="rId13" Type="http://schemas.openxmlformats.org/officeDocument/2006/relationships/table" Target="../tables/table55.xml"/><Relationship Id="rId3" Type="http://schemas.openxmlformats.org/officeDocument/2006/relationships/table" Target="../tables/table45.xml"/><Relationship Id="rId7" Type="http://schemas.openxmlformats.org/officeDocument/2006/relationships/table" Target="../tables/table49.xml"/><Relationship Id="rId12" Type="http://schemas.openxmlformats.org/officeDocument/2006/relationships/table" Target="../tables/table54.xml"/><Relationship Id="rId2" Type="http://schemas.openxmlformats.org/officeDocument/2006/relationships/vmlDrawing" Target="../drawings/vmlDrawing4.vml"/><Relationship Id="rId1" Type="http://schemas.openxmlformats.org/officeDocument/2006/relationships/printerSettings" Target="../printerSettings/printerSettings9.bin"/><Relationship Id="rId6" Type="http://schemas.openxmlformats.org/officeDocument/2006/relationships/table" Target="../tables/table48.xml"/><Relationship Id="rId11" Type="http://schemas.openxmlformats.org/officeDocument/2006/relationships/table" Target="../tables/table53.xml"/><Relationship Id="rId5" Type="http://schemas.openxmlformats.org/officeDocument/2006/relationships/table" Target="../tables/table47.xml"/><Relationship Id="rId15" Type="http://schemas.openxmlformats.org/officeDocument/2006/relationships/table" Target="../tables/table57.xml"/><Relationship Id="rId10" Type="http://schemas.openxmlformats.org/officeDocument/2006/relationships/table" Target="../tables/table52.xml"/><Relationship Id="rId4" Type="http://schemas.openxmlformats.org/officeDocument/2006/relationships/table" Target="../tables/table46.xml"/><Relationship Id="rId9" Type="http://schemas.openxmlformats.org/officeDocument/2006/relationships/table" Target="../tables/table51.xml"/><Relationship Id="rId14" Type="http://schemas.openxmlformats.org/officeDocument/2006/relationships/table" Target="../tables/table5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BBEA3-2085-48F2-8A9B-E7952535D98D}">
  <sheetPr>
    <tabColor theme="5"/>
  </sheetPr>
  <dimension ref="B1:J63"/>
  <sheetViews>
    <sheetView tabSelected="1" zoomScale="70" zoomScaleNormal="70" zoomScalePageLayoutView="70" workbookViewId="0">
      <selection activeCell="D11" sqref="D11"/>
    </sheetView>
  </sheetViews>
  <sheetFormatPr defaultColWidth="9" defaultRowHeight="30" customHeight="1"/>
  <cols>
    <col min="1" max="1" width="1.25" customWidth="1"/>
    <col min="2" max="5" width="24.625" customWidth="1"/>
    <col min="6" max="6" width="6.625" customWidth="1"/>
    <col min="7" max="8" width="33.625" customWidth="1"/>
    <col min="9" max="9" width="7.5" style="2" customWidth="1"/>
    <col min="10" max="10" width="13.125" customWidth="1"/>
  </cols>
  <sheetData>
    <row r="1" spans="2:10" ht="77.25" customHeight="1">
      <c r="B1" s="113" t="s">
        <v>0</v>
      </c>
      <c r="C1" s="113"/>
      <c r="D1" s="113"/>
      <c r="E1" s="113"/>
      <c r="F1" s="113"/>
      <c r="G1" s="113"/>
      <c r="H1" s="113"/>
      <c r="I1" s="26"/>
      <c r="J1" s="27"/>
    </row>
    <row r="2" spans="2:10" ht="34.9">
      <c r="B2" s="54" t="s">
        <v>1</v>
      </c>
      <c r="C2" s="24" t="s">
        <v>2</v>
      </c>
      <c r="D2" s="55" t="s">
        <v>3</v>
      </c>
      <c r="E2" s="25" t="s">
        <v>4</v>
      </c>
      <c r="F2" s="1"/>
      <c r="G2" s="114" t="s">
        <v>5</v>
      </c>
      <c r="H2" s="115"/>
      <c r="I2" s="26"/>
      <c r="J2" s="29"/>
    </row>
    <row r="3" spans="2:10" ht="17.45">
      <c r="B3" s="11"/>
      <c r="C3" s="76">
        <f>C19</f>
        <v>0</v>
      </c>
      <c r="D3" s="76">
        <f>D19</f>
        <v>0</v>
      </c>
      <c r="E3" s="78">
        <f>SUM(C3-D3)</f>
        <v>0</v>
      </c>
      <c r="F3" s="1"/>
      <c r="G3" s="37" t="s">
        <v>6</v>
      </c>
      <c r="H3" s="38"/>
      <c r="I3" s="26"/>
      <c r="J3" s="29"/>
    </row>
    <row r="4" spans="2:10" ht="15.6">
      <c r="C4" s="33"/>
      <c r="D4" s="33"/>
      <c r="E4" s="33"/>
      <c r="F4" s="10"/>
      <c r="G4" s="39" t="s">
        <v>7</v>
      </c>
      <c r="H4" s="40"/>
      <c r="I4" s="26"/>
      <c r="J4" s="29"/>
    </row>
    <row r="5" spans="2:10" ht="27.6">
      <c r="B5" s="108" t="s">
        <v>8</v>
      </c>
      <c r="C5" s="106" t="s">
        <v>9</v>
      </c>
      <c r="D5" s="106" t="s">
        <v>10</v>
      </c>
      <c r="E5" s="107" t="s">
        <v>11</v>
      </c>
      <c r="G5" s="41" t="s">
        <v>12</v>
      </c>
      <c r="H5" s="38"/>
      <c r="I5" s="26"/>
      <c r="J5" s="29"/>
    </row>
    <row r="6" spans="2:10" ht="17.45">
      <c r="B6" s="109" t="s">
        <v>13</v>
      </c>
      <c r="C6" s="72">
        <f>SUM('January - Overview'!C6,'February - Overview'!C6,'March - Overview'!C6,'April - Overview'!C6,'May - Overview'!C6,'June - Overview'!C6,'July - Overview'!C6,'August - Overview'!C6,'September - Overview'!C6,'October - Overview'!C6,'November - Overview'!C6,'December - Overview'!C6)</f>
        <v>0</v>
      </c>
      <c r="D6" s="72">
        <f>SUM('January - Overview'!D6,'February - Overview'!D6,'March - Overview'!D6,'April - Overview'!D6,'May - Overview'!D6,'June - Overview'!D6,'July - Overview'!D6,'August - Overview'!D6,'September - Overview'!D6,'October - Overview'!D6,'November - Overview'!D6,'December - Overview'!D6)</f>
        <v>0</v>
      </c>
      <c r="E6" s="88">
        <f>C6-D6</f>
        <v>0</v>
      </c>
      <c r="G6" s="42" t="s">
        <v>14</v>
      </c>
      <c r="H6" s="43">
        <f>SUM(H3:H5)</f>
        <v>0</v>
      </c>
      <c r="I6" s="26"/>
      <c r="J6" s="29"/>
    </row>
    <row r="7" spans="2:10" ht="15">
      <c r="B7" s="110" t="s">
        <v>15</v>
      </c>
      <c r="C7" s="73">
        <f>SUM('January - Overview'!C7,'February - Overview'!C7,'March - Overview'!C7,'April - Overview'!C7,'May - Overview'!C7,'June - Overview'!C7,'July - Overview'!C7,'August - Overview'!C7,'September - Overview'!C7,'October - Overview'!C7,'November - Overview'!C7,'December - Overview'!C7)</f>
        <v>0</v>
      </c>
      <c r="D7" s="73">
        <f>SUM('January - Overview'!D7,'February - Overview'!D7,'March - Overview'!D7,'April - Overview'!D7,'May - Overview'!D7,'June - Overview'!D7,'July - Overview'!D7,'August - Overview'!D7,'September - Overview'!D7,'October - Overview'!D7,'November - Overview'!D7,'December - Overview'!D7)</f>
        <v>0</v>
      </c>
      <c r="E7" s="86">
        <f t="shared" ref="E7:E18" si="0">C7-D7</f>
        <v>0</v>
      </c>
      <c r="G7" s="31"/>
      <c r="H7" s="31"/>
      <c r="I7" s="30"/>
    </row>
    <row r="8" spans="2:10" ht="24.6">
      <c r="B8" s="109" t="s">
        <v>16</v>
      </c>
      <c r="C8" s="72">
        <f>SUM('January - Overview'!C8,'February - Overview'!C8,'March - Overview'!C8,'April - Overview'!C8,'May - Overview'!C8,'June - Overview'!C8,'July - Overview'!C8,'August - Overview'!C8,'September - Overview'!C8,'October - Overview'!C8,'November - Overview'!C8,'December - Overview'!C8)</f>
        <v>0</v>
      </c>
      <c r="D8" s="72">
        <f>SUM('January - Overview'!D8,'February - Overview'!D8,'March - Overview'!D8,'April - Overview'!D8,'May - Overview'!D8,'June - Overview'!D8,'July - Overview'!D8,'August - Overview'!D8,'September - Overview'!D8,'October - Overview'!D8,'November - Overview'!D8,'December - Overview'!D8)</f>
        <v>0</v>
      </c>
      <c r="E8" s="88">
        <f t="shared" si="0"/>
        <v>0</v>
      </c>
      <c r="G8" s="116" t="s">
        <v>17</v>
      </c>
      <c r="H8" s="117"/>
      <c r="I8" s="28"/>
    </row>
    <row r="9" spans="2:10" ht="15">
      <c r="B9" s="110" t="s">
        <v>18</v>
      </c>
      <c r="C9" s="73">
        <f>SUM('January - Overview'!C9,'February - Overview'!C9,'March - Overview'!C9,'April - Overview'!C9,'May - Overview'!C9,'June - Overview'!C9,'July - Overview'!C9,'August - Overview'!C9,'September - Overview'!C9,'October - Overview'!C9,'November - Overview'!C9,'December - Overview'!C9)</f>
        <v>0</v>
      </c>
      <c r="D9" s="73">
        <f>SUM('January - Overview'!D9,'February - Overview'!D9,'March - Overview'!D9,'April - Overview'!D9,'May - Overview'!D9,'June - Overview'!D9,'July - Overview'!D9,'August - Overview'!D9,'September - Overview'!D9,'October - Overview'!D9,'November - Overview'!D9,'December - Overview'!D9)</f>
        <v>0</v>
      </c>
      <c r="E9" s="86">
        <f t="shared" si="0"/>
        <v>0</v>
      </c>
      <c r="G9" s="41" t="s">
        <v>6</v>
      </c>
      <c r="H9" s="44"/>
      <c r="I9" s="28"/>
    </row>
    <row r="10" spans="2:10" ht="15">
      <c r="B10" s="109" t="s">
        <v>19</v>
      </c>
      <c r="C10" s="72">
        <f>SUM('January - Overview'!C10,'February - Overview'!C10,'March - Overview'!C10,'April - Overview'!C10,'May - Overview'!C10,'June - Overview'!C10,'July - Overview'!C10,'August - Overview'!C10,'September - Overview'!C10,'October - Overview'!C10,'November - Overview'!C10,'December - Overview'!C10)</f>
        <v>0</v>
      </c>
      <c r="D10" s="72">
        <f>SUM('January - Overview'!D10,'February - Overview'!D10,'March - Overview'!D10,'April - Overview'!D10,'May - Overview'!D10,'June - Overview'!D10,'July - Overview'!D10,'August - Overview'!D10,'September - Overview'!D10,'October - Overview'!D10,'November - Overview'!D10,'December - Overview'!D10)</f>
        <v>0</v>
      </c>
      <c r="E10" s="88">
        <f t="shared" si="0"/>
        <v>0</v>
      </c>
      <c r="G10" s="39" t="s">
        <v>7</v>
      </c>
      <c r="H10" s="45"/>
      <c r="I10" s="28"/>
    </row>
    <row r="11" spans="2:10" ht="15">
      <c r="B11" s="110" t="s">
        <v>20</v>
      </c>
      <c r="C11" s="73">
        <f>SUM('January - Overview'!C11,'February - Overview'!C11,'March - Overview'!C11,'April - Overview'!C11,'May - Overview'!C11,'June - Overview'!C11,'July - Overview'!C11,'August - Overview'!C11,'September - Overview'!C11,'October - Overview'!C11,'November - Overview'!C11,'December - Overview'!C11)</f>
        <v>0</v>
      </c>
      <c r="D11" s="73">
        <f>SUM('January - Overview'!D11,'February - Overview'!D11,'March - Overview'!D11,'April - Overview'!D11,'May - Overview'!D11,'June - Overview'!D11,'July - Overview'!D11,'August - Overview'!D11,'September - Overview'!D11,'October - Overview'!D11,'November - Overview'!D11,'December - Overview'!D11)</f>
        <v>0</v>
      </c>
      <c r="E11" s="86">
        <f t="shared" si="0"/>
        <v>0</v>
      </c>
      <c r="G11" s="41" t="s">
        <v>12</v>
      </c>
      <c r="H11" s="44"/>
      <c r="I11" s="28"/>
    </row>
    <row r="12" spans="2:10" ht="17.45">
      <c r="B12" s="109" t="s">
        <v>21</v>
      </c>
      <c r="C12" s="72">
        <f>SUM('January - Overview'!C12,'February - Overview'!C12,'March - Overview'!C12,'April - Overview'!C12,'May - Overview'!C12,'June - Overview'!C12,'July - Overview'!C12,'August - Overview'!C12,'September - Overview'!C12,'October - Overview'!C12,'November - Overview'!C12,'December - Overview'!C12)</f>
        <v>0</v>
      </c>
      <c r="D12" s="72">
        <f>SUM('January - Overview'!D12,'February - Overview'!D12,'March - Overview'!D12,'April - Overview'!D12,'May - Overview'!D12,'June - Overview'!D12,'July - Overview'!D12,'August - Overview'!D12,'September - Overview'!D12,'October - Overview'!D12,'November - Overview'!D12,'December - Overview'!D12)</f>
        <v>0</v>
      </c>
      <c r="E12" s="89">
        <f t="shared" si="0"/>
        <v>0</v>
      </c>
      <c r="G12" s="46" t="s">
        <v>14</v>
      </c>
      <c r="H12" s="47">
        <f>SUM(H9:H11)</f>
        <v>0</v>
      </c>
      <c r="I12" s="28"/>
    </row>
    <row r="13" spans="2:10" ht="15">
      <c r="B13" s="110" t="s">
        <v>22</v>
      </c>
      <c r="C13" s="73">
        <f>SUM('January - Overview'!C13,'February - Overview'!C13,'March - Overview'!C13,'April - Overview'!C13,'May - Overview'!C13,'June - Overview'!C13,'July - Overview'!C13,'August - Overview'!C13,'September - Overview'!C13,'October - Overview'!C13,'November - Overview'!C13,'December - Overview'!C13)</f>
        <v>0</v>
      </c>
      <c r="D13" s="73">
        <f>SUM('January - Overview'!D13,'February - Overview'!D13,'March - Overview'!D13,'April - Overview'!D13,'May - Overview'!D13,'June - Overview'!D13,'July - Overview'!D13,'August - Overview'!D13,'September - Overview'!D13,'October - Overview'!D13,'November - Overview'!D13,'December - Overview'!D13)</f>
        <v>0</v>
      </c>
      <c r="E13" s="90">
        <f t="shared" si="0"/>
        <v>0</v>
      </c>
      <c r="G13" s="31"/>
      <c r="H13" s="31"/>
      <c r="I13" s="31"/>
    </row>
    <row r="14" spans="2:10" ht="24.6">
      <c r="B14" s="109" t="s">
        <v>23</v>
      </c>
      <c r="C14" s="72">
        <f>SUM('January - Overview'!C14,'February - Overview'!C14,'March - Overview'!C14,'April - Overview'!C14,'May - Overview'!C14,'June - Overview'!C14,'July - Overview'!C14,'August - Overview'!C14,'September - Overview'!C14,'October - Overview'!C14,'November - Overview'!C14,'December - Overview'!C14)</f>
        <v>0</v>
      </c>
      <c r="D14" s="72">
        <f>SUM('January - Overview'!D14,'February - Overview'!D14,'March - Overview'!D14,'April - Overview'!D14,'May - Overview'!D14,'June - Overview'!D14,'July - Overview'!D14,'August - Overview'!D14,'September - Overview'!D14,'October - Overview'!D14,'November - Overview'!D14,'December - Overview'!D14)</f>
        <v>0</v>
      </c>
      <c r="E14" s="89">
        <f t="shared" si="0"/>
        <v>0</v>
      </c>
      <c r="G14" s="118" t="s">
        <v>24</v>
      </c>
      <c r="H14" s="119"/>
      <c r="I14" s="30"/>
    </row>
    <row r="15" spans="2:10" ht="15">
      <c r="B15" s="110" t="s">
        <v>25</v>
      </c>
      <c r="C15" s="73">
        <f>SUM('January - Overview'!C15,'February - Overview'!C15,'March - Overview'!C15,'April - Overview'!C15,'May - Overview'!C15,'June - Overview'!C15,'July - Overview'!C15,'August - Overview'!C15,'September - Overview'!C15,'October - Overview'!C15,'November - Overview'!C15,'December - Overview'!C15)</f>
        <v>0</v>
      </c>
      <c r="D15" s="73">
        <f>SUM('January - Overview'!D15,'February - Overview'!D15,'March - Overview'!D15,'April - Overview'!D15,'May - Overview'!D15,'June - Overview'!D15,'July - Overview'!D15,'August - Overview'!D15,'September - Overview'!D15,'October - Overview'!D15,'November - Overview'!D15,'December - Overview'!D15)</f>
        <v>0</v>
      </c>
      <c r="E15" s="86">
        <f t="shared" si="0"/>
        <v>0</v>
      </c>
      <c r="G15" s="48" t="s">
        <v>26</v>
      </c>
      <c r="H15" s="49">
        <f>SUM(H6-'Year - Overview'!$C$3:$C$3)</f>
        <v>0</v>
      </c>
      <c r="I15" s="28"/>
    </row>
    <row r="16" spans="2:10" ht="15">
      <c r="B16" s="109" t="s">
        <v>27</v>
      </c>
      <c r="C16" s="72">
        <f>SUM('January - Overview'!C16,'February - Overview'!C16,'March - Overview'!C16,'April - Overview'!C16,'May - Overview'!C16,'June - Overview'!C16,'July - Overview'!C16,'August - Overview'!C16,'September - Overview'!C16,'October - Overview'!C16,'November - Overview'!C16,'December - Overview'!C16)</f>
        <v>0</v>
      </c>
      <c r="D16" s="72">
        <f>SUM('January - Overview'!D16,'February - Overview'!D16,'March - Overview'!D16,'April - Overview'!D16,'May - Overview'!D16,'June - Overview'!D16,'July - Overview'!D16,'August - Overview'!D16,'September - Overview'!D16,'October - Overview'!D16,'November - Overview'!D16,'December - Overview'!D16)</f>
        <v>0</v>
      </c>
      <c r="E16" s="88">
        <f t="shared" si="0"/>
        <v>0</v>
      </c>
      <c r="G16" s="50" t="s">
        <v>28</v>
      </c>
      <c r="H16" s="51">
        <f>SUM(H12-D3)</f>
        <v>0</v>
      </c>
      <c r="I16" s="28"/>
    </row>
    <row r="17" spans="2:9" ht="17.45">
      <c r="B17" s="110" t="s">
        <v>29</v>
      </c>
      <c r="C17" s="73">
        <f>SUM('January - Overview'!C17,'February - Overview'!C17,'March - Overview'!C17,'April - Overview'!C17,'May - Overview'!C17,'June - Overview'!C17,'July - Overview'!C17,'August - Overview'!C17,'September - Overview'!C17,'October - Overview'!C17,'November - Overview'!C17,'December - Overview'!C17)</f>
        <v>0</v>
      </c>
      <c r="D17" s="73">
        <f>SUM('January - Overview'!D17,'February - Overview'!D17,'March - Overview'!D17,'April - Overview'!D17,'May - Overview'!D17,'June - Overview'!D17,'July - Overview'!D17,'August - Overview'!D17,'September - Overview'!D17,'October - Overview'!D17,'November - Overview'!D17,'December - Overview'!D17)</f>
        <v>0</v>
      </c>
      <c r="E17" s="86">
        <f t="shared" si="0"/>
        <v>0</v>
      </c>
      <c r="F17" s="10"/>
      <c r="G17" s="52" t="s">
        <v>11</v>
      </c>
      <c r="H17" s="53">
        <f>SUM(H16-H15)</f>
        <v>0</v>
      </c>
      <c r="I17" s="28"/>
    </row>
    <row r="18" spans="2:9" ht="18" thickBot="1">
      <c r="B18" s="111" t="s">
        <v>30</v>
      </c>
      <c r="C18" s="104">
        <f>SUM('January - Overview'!C18,'February - Overview'!C18,'March - Overview'!C18,'April - Overview'!C18,'May - Overview'!C18,'June - Overview'!C18,'July - Overview'!C18,'August - Overview'!C18,'September - Overview'!C18,'October - Overview'!C18,'November - Overview'!C18,'December - Overview'!C18)</f>
        <v>0</v>
      </c>
      <c r="D18" s="104">
        <f>SUM('January - Overview'!D18,'February - Overview'!D18,'March - Overview'!D18,'April - Overview'!D18,'May - Overview'!D18,'June - Overview'!D18,'July - Overview'!D18,'August - Overview'!D18,'September - Overview'!D18,'October - Overview'!D18,'November - Overview'!D18,'December - Overview'!D18)</f>
        <v>0</v>
      </c>
      <c r="E18" s="105">
        <f t="shared" si="0"/>
        <v>0</v>
      </c>
      <c r="F18" s="34"/>
      <c r="H18" s="8"/>
      <c r="I18" s="28"/>
    </row>
    <row r="19" spans="2:9" ht="30" customHeight="1" thickTop="1">
      <c r="B19" s="112" t="s">
        <v>31</v>
      </c>
      <c r="C19" s="102">
        <f>SUM(C6:C18)</f>
        <v>0</v>
      </c>
      <c r="D19" s="102">
        <f>SUM(D6:D18)</f>
        <v>0</v>
      </c>
      <c r="E19" s="103">
        <f>SUM(E6:E18)</f>
        <v>0</v>
      </c>
      <c r="F19" s="32"/>
      <c r="I19" s="29"/>
    </row>
    <row r="20" spans="2:9" ht="37.5" customHeight="1">
      <c r="I20" s="29"/>
    </row>
    <row r="21" spans="2:9" s="32" customFormat="1" ht="30" customHeight="1">
      <c r="B21"/>
      <c r="C21"/>
      <c r="D21"/>
      <c r="E21"/>
      <c r="F21"/>
      <c r="G21"/>
      <c r="H21"/>
    </row>
    <row r="22" spans="2:9" ht="48" customHeight="1">
      <c r="I22"/>
    </row>
    <row r="23" spans="2:9" ht="30" customHeight="1">
      <c r="I23" s="9"/>
    </row>
    <row r="24" spans="2:9" ht="30" customHeight="1">
      <c r="I24"/>
    </row>
    <row r="25" spans="2:9" ht="30" customHeight="1">
      <c r="I25"/>
    </row>
    <row r="26" spans="2:9" ht="30" customHeight="1">
      <c r="I26"/>
    </row>
    <row r="27" spans="2:9" ht="30" customHeight="1">
      <c r="I27"/>
    </row>
    <row r="28" spans="2:9" ht="30" customHeight="1">
      <c r="I28"/>
    </row>
    <row r="29" spans="2:9" ht="37.9" customHeight="1">
      <c r="I29"/>
    </row>
    <row r="30" spans="2:9" ht="30" customHeight="1">
      <c r="I30"/>
    </row>
    <row r="31" spans="2:9" ht="48" customHeight="1">
      <c r="I31"/>
    </row>
    <row r="32" spans="2:9" ht="30" customHeight="1">
      <c r="I32"/>
    </row>
    <row r="33" spans="9:9" ht="30" customHeight="1">
      <c r="I33"/>
    </row>
    <row r="34" spans="9:9" ht="30" customHeight="1">
      <c r="I34"/>
    </row>
    <row r="35" spans="9:9" ht="30" customHeight="1">
      <c r="I35"/>
    </row>
    <row r="36" spans="9:9" ht="30" customHeight="1">
      <c r="I36"/>
    </row>
    <row r="37" spans="9:9" ht="30" customHeight="1">
      <c r="I37"/>
    </row>
    <row r="38" spans="9:9" ht="30" customHeight="1">
      <c r="I38"/>
    </row>
    <row r="39" spans="9:9" ht="30" customHeight="1">
      <c r="I39"/>
    </row>
    <row r="40" spans="9:9" ht="30" customHeight="1">
      <c r="I40"/>
    </row>
    <row r="41" spans="9:9" ht="30" customHeight="1">
      <c r="I41"/>
    </row>
    <row r="42" spans="9:9" ht="37.9" customHeight="1">
      <c r="I42"/>
    </row>
    <row r="43" spans="9:9" ht="30" customHeight="1">
      <c r="I43"/>
    </row>
    <row r="44" spans="9:9" ht="48" customHeight="1">
      <c r="I44"/>
    </row>
    <row r="45" spans="9:9" ht="30" customHeight="1">
      <c r="I45"/>
    </row>
    <row r="46" spans="9:9" ht="30" customHeight="1">
      <c r="I46"/>
    </row>
    <row r="47" spans="9:9" ht="30" customHeight="1">
      <c r="I47"/>
    </row>
    <row r="48" spans="9:9" ht="30" customHeight="1">
      <c r="I48"/>
    </row>
    <row r="49" spans="9:9" ht="30" customHeight="1">
      <c r="I49"/>
    </row>
    <row r="50" spans="9:9" ht="30" customHeight="1">
      <c r="I50"/>
    </row>
    <row r="51" spans="9:9" ht="37.9" customHeight="1">
      <c r="I51"/>
    </row>
    <row r="52" spans="9:9" ht="30" customHeight="1">
      <c r="I52"/>
    </row>
    <row r="53" spans="9:9" ht="48" customHeight="1">
      <c r="I53"/>
    </row>
    <row r="54" spans="9:9" ht="30" customHeight="1">
      <c r="I54"/>
    </row>
    <row r="55" spans="9:9" ht="30" customHeight="1">
      <c r="I55"/>
    </row>
    <row r="56" spans="9:9" ht="30" customHeight="1">
      <c r="I56"/>
    </row>
    <row r="57" spans="9:9" ht="30" customHeight="1">
      <c r="I57"/>
    </row>
    <row r="58" spans="9:9" ht="30" customHeight="1">
      <c r="I58"/>
    </row>
    <row r="59" spans="9:9" ht="30" customHeight="1">
      <c r="I59"/>
    </row>
    <row r="60" spans="9:9" ht="30" customHeight="1">
      <c r="I60"/>
    </row>
    <row r="61" spans="9:9" ht="30" customHeight="1">
      <c r="I61"/>
    </row>
    <row r="62" spans="9:9" ht="30" customHeight="1">
      <c r="I62"/>
    </row>
    <row r="63" spans="9:9" ht="30" customHeight="1">
      <c r="I63"/>
    </row>
  </sheetData>
  <mergeCells count="4">
    <mergeCell ref="B1:H1"/>
    <mergeCell ref="G2:H2"/>
    <mergeCell ref="G8:H8"/>
    <mergeCell ref="G14:H14"/>
  </mergeCells>
  <conditionalFormatting sqref="B1 B2:E2 B3 E3">
    <cfRule type="cellIs" dxfId="1331" priority="5" operator="lessThan">
      <formula>0</formula>
    </cfRule>
  </conditionalFormatting>
  <conditionalFormatting sqref="B6:E19">
    <cfRule type="cellIs" dxfId="1330" priority="1" operator="lessThan">
      <formula>0</formula>
    </cfRule>
  </conditionalFormatting>
  <conditionalFormatting sqref="C3:D3">
    <cfRule type="cellIs" dxfId="1329" priority="4" operator="lessThan">
      <formula>0</formula>
    </cfRule>
  </conditionalFormatting>
  <conditionalFormatting sqref="E3">
    <cfRule type="iconSet" priority="3">
      <iconSet iconSet="3Arrows">
        <cfvo type="percentile" val="0"/>
        <cfvo type="num" val="-50"/>
        <cfvo type="num" val="50"/>
      </iconSet>
    </cfRule>
  </conditionalFormatting>
  <conditionalFormatting sqref="E6:E18">
    <cfRule type="iconSet" priority="2">
      <iconSet iconSet="3Arrows">
        <cfvo type="percentile" val="0"/>
        <cfvo type="num" val="-50"/>
        <cfvo type="num" val="50"/>
      </iconSet>
    </cfRule>
  </conditionalFormatting>
  <conditionalFormatting sqref="F2:F4 F17:F18">
    <cfRule type="cellIs" dxfId="1328" priority="6" operator="lessThan">
      <formula>0</formula>
    </cfRule>
  </conditionalFormatting>
  <conditionalFormatting sqref="I23 H17">
    <cfRule type="iconSet" priority="25">
      <iconSet iconSet="3Arrows">
        <cfvo type="percentile" val="0"/>
        <cfvo type="num" val="-50"/>
        <cfvo type="num" val="50"/>
      </iconSet>
    </cfRule>
  </conditionalFormatting>
  <conditionalFormatting sqref="I1:J6 G2:G3 H3 G4:H7 I7:I20 G8 G9:H12 G13:G14 G15:H17 H18 I23">
    <cfRule type="cellIs" dxfId="1327" priority="24" operator="lessThan">
      <formula>0</formula>
    </cfRule>
  </conditionalFormatting>
  <dataValidations count="11">
    <dataValidation allowBlank="1" showInputMessage="1" showErrorMessage="1" prompt="Total Projected, Actual, and Difference is auto calculated in this table" sqref="B2" xr:uid="{4E95F1E5-D8C1-4BF8-90A8-D60DB9158369}"/>
    <dataValidation allowBlank="1" showInputMessage="1" showErrorMessage="1" prompt="Balance is in this column under this heading" sqref="G14" xr:uid="{5AC8A333-8C9E-4377-B3EA-13193C900539}"/>
    <dataValidation allowBlank="1" showInputMessage="1" showErrorMessage="1" prompt="Balance table below is auto updated" sqref="G13" xr:uid="{7A2BA6DE-B17E-455C-BC5B-C4FD0CF39A88}"/>
    <dataValidation allowBlank="1" showInputMessage="1" showErrorMessage="1" prompt="Enter Actual Monthly Income Source in this column under this heading" sqref="G8" xr:uid="{ADAD6735-3102-436B-809D-A33ED9A30956}"/>
    <dataValidation allowBlank="1" showInputMessage="1" showErrorMessage="1" prompt="Enter details in Actual Monthly Income table below" sqref="G7" xr:uid="{96FF8014-E69D-43B2-A113-39DA026F2E34}"/>
    <dataValidation allowBlank="1" showInputMessage="1" showErrorMessage="1" prompt="Enter Projected Monthly Income Source in this column under this heading" sqref="G2" xr:uid="{BD1AC4CC-3999-4520-AEB5-31A5CE5398EB}"/>
    <dataValidation allowBlank="1" showInputMessage="1" showErrorMessage="1" prompt="Total Difference is auto calculated in cell below" sqref="E2" xr:uid="{07437CC5-9965-4931-97F8-F7B23AF13A6B}"/>
    <dataValidation allowBlank="1" showInputMessage="1" showErrorMessage="1" prompt="Total Actual Cost is auto calculated in cell below" sqref="D2" xr:uid="{6A3ADD55-44A9-4845-A87A-DD298600DD86}"/>
    <dataValidation allowBlank="1" showInputMessage="1" showErrorMessage="1" prompt="Total Projected Cost is auto calculated in cell below" sqref="C2" xr:uid="{EC1B9665-01C5-42E3-A743-1D764338897F}"/>
    <dataValidation allowBlank="1" showInputMessage="1" showErrorMessage="1" prompt="Title of this worksheet is in this cell. Summary is in table below. Sample expense categories are in separate tables starting in B5. Enter income amounts starting in cell G2" sqref="B1" xr:uid="{254CB6F4-677B-4330-8602-C8DB882E29E4}"/>
    <dataValidation allowBlank="1" showInputMessage="1" showErrorMessage="1" prompt="Create a Family Budget Planner in this worksheet. Enter details in tables. Total Projected and Actual Costs, Projected and Actual Balance, and Difference are auto calculated" sqref="A1" xr:uid="{96F54D6D-8C89-4CA1-A55B-71317A351D2C}"/>
  </dataValidations>
  <printOptions horizontalCentered="1"/>
  <pageMargins left="0.23622047244094491" right="0.23622047244094491" top="0.51181102362204722" bottom="0.51181102362204722" header="0.51181102362204722" footer="0.51181102362204722"/>
  <pageSetup scale="60" orientation="landscape" r:id="rId1"/>
  <headerFooter alignWithMargins="0"/>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AFB25-C670-4645-B54F-1EB729938DF8}">
  <sheetPr>
    <tabColor theme="4"/>
  </sheetPr>
  <dimension ref="B1:J61"/>
  <sheetViews>
    <sheetView zoomScale="70" zoomScaleNormal="70" zoomScalePageLayoutView="70" workbookViewId="0">
      <selection activeCell="C3" sqref="C3:D3"/>
    </sheetView>
  </sheetViews>
  <sheetFormatPr defaultColWidth="9" defaultRowHeight="30" customHeight="1"/>
  <cols>
    <col min="1" max="1" width="1.25" customWidth="1"/>
    <col min="2" max="6" width="24.625" customWidth="1"/>
    <col min="7" max="7" width="7.75" customWidth="1"/>
    <col min="8" max="8" width="32.875" customWidth="1"/>
    <col min="9" max="9" width="32.875" style="2" customWidth="1"/>
    <col min="10" max="10" width="2.375" customWidth="1"/>
  </cols>
  <sheetData>
    <row r="1" spans="2:10" ht="77.25" customHeight="1">
      <c r="B1" s="113" t="s">
        <v>100</v>
      </c>
      <c r="C1" s="113"/>
      <c r="D1" s="113"/>
      <c r="E1" s="113"/>
      <c r="F1" s="113"/>
      <c r="G1" s="113"/>
      <c r="H1" s="113"/>
      <c r="I1" s="26"/>
      <c r="J1" s="27"/>
    </row>
    <row r="2" spans="2:10" ht="35.450000000000003">
      <c r="B2" s="54" t="s">
        <v>1</v>
      </c>
      <c r="C2" s="24" t="s">
        <v>2</v>
      </c>
      <c r="D2" s="55" t="s">
        <v>3</v>
      </c>
      <c r="E2" s="25" t="s">
        <v>4</v>
      </c>
      <c r="F2" s="1"/>
      <c r="H2" s="36"/>
      <c r="I2" s="26"/>
      <c r="J2" s="29"/>
    </row>
    <row r="3" spans="2:10" ht="35.450000000000003">
      <c r="B3" s="11"/>
      <c r="C3" s="76"/>
      <c r="D3" s="77"/>
      <c r="E3" s="78">
        <f>SUM(C3-D3)</f>
        <v>0</v>
      </c>
      <c r="F3" s="1"/>
      <c r="H3" s="36"/>
      <c r="I3" s="26"/>
      <c r="J3" s="29"/>
    </row>
    <row r="4" spans="2:10" ht="35.450000000000003">
      <c r="C4" s="33"/>
      <c r="D4" s="33"/>
      <c r="E4" s="33"/>
      <c r="F4" s="10"/>
      <c r="H4" s="36"/>
      <c r="I4" s="26"/>
      <c r="J4" s="29"/>
    </row>
    <row r="5" spans="2:10" ht="27.6">
      <c r="B5" s="79" t="s">
        <v>8</v>
      </c>
      <c r="C5" s="80" t="s">
        <v>9</v>
      </c>
      <c r="D5" s="80" t="s">
        <v>10</v>
      </c>
      <c r="E5" s="81" t="s">
        <v>11</v>
      </c>
      <c r="G5" s="10"/>
      <c r="H5" s="114" t="s">
        <v>33</v>
      </c>
      <c r="I5" s="115"/>
      <c r="J5" s="30"/>
    </row>
    <row r="6" spans="2:10" ht="15">
      <c r="B6" s="82" t="s">
        <v>13</v>
      </c>
      <c r="C6" s="83">
        <f>Housing[[#Totals],[Budgeted
cost]]</f>
        <v>0</v>
      </c>
      <c r="D6" s="83">
        <f>Housing[[#Totals],[Actual
cost]]</f>
        <v>0</v>
      </c>
      <c r="E6" s="84">
        <f>'May - Overview'!$C6-'May - Overview'!$D6</f>
        <v>0</v>
      </c>
      <c r="G6" s="10"/>
      <c r="H6" s="37" t="s">
        <v>6</v>
      </c>
      <c r="I6" s="38"/>
      <c r="J6" s="28"/>
    </row>
    <row r="7" spans="2:10" ht="15">
      <c r="B7" s="85" t="s">
        <v>15</v>
      </c>
      <c r="C7" s="73">
        <f>Transportation[[#Totals],[Budgeted
cost]]</f>
        <v>0</v>
      </c>
      <c r="D7" s="73">
        <f>Transportation[[#Totals],[Actual
cost]]</f>
        <v>0</v>
      </c>
      <c r="E7" s="86">
        <f>'May - Overview'!$C7-'May - Overview'!$D7</f>
        <v>0</v>
      </c>
      <c r="G7" s="10"/>
      <c r="H7" s="69" t="s">
        <v>7</v>
      </c>
      <c r="I7" s="71"/>
      <c r="J7" s="28"/>
    </row>
    <row r="8" spans="2:10" ht="15">
      <c r="B8" s="87" t="s">
        <v>16</v>
      </c>
      <c r="C8" s="72">
        <f>Loans[[#Totals],[Budgeted
cost]]</f>
        <v>0</v>
      </c>
      <c r="D8" s="72">
        <f>Loans[[#Totals],[Actual
cost]]</f>
        <v>0</v>
      </c>
      <c r="E8" s="88">
        <f>'May - Overview'!$C8-'May - Overview'!$D8</f>
        <v>0</v>
      </c>
      <c r="G8" s="10"/>
      <c r="H8" s="41" t="s">
        <v>12</v>
      </c>
      <c r="I8" s="38"/>
      <c r="J8" s="28"/>
    </row>
    <row r="9" spans="2:10" ht="17.45">
      <c r="B9" s="85" t="s">
        <v>18</v>
      </c>
      <c r="C9" s="73">
        <f>Insurance[[#Totals],[Budgeted
cost]]</f>
        <v>0</v>
      </c>
      <c r="D9" s="73">
        <f>Insurance[[#Totals],[Actual
cost]]</f>
        <v>0</v>
      </c>
      <c r="E9" s="86">
        <f>'May - Overview'!$C9-'May - Overview'!$D9</f>
        <v>0</v>
      </c>
      <c r="G9" s="10"/>
      <c r="H9" s="42" t="s">
        <v>14</v>
      </c>
      <c r="I9" s="43">
        <f>SUM(I6:I8)</f>
        <v>0</v>
      </c>
      <c r="J9" s="28"/>
    </row>
    <row r="10" spans="2:10" ht="15">
      <c r="B10" s="87" t="s">
        <v>19</v>
      </c>
      <c r="C10" s="72">
        <f>Entertainment[[#Totals],[Budgeted
cost]]</f>
        <v>0</v>
      </c>
      <c r="D10" s="72">
        <f>Entertainment[[#Totals],[Actual
cost]]</f>
        <v>0</v>
      </c>
      <c r="E10" s="88">
        <f>'May - Overview'!$C10-'May - Overview'!$D10</f>
        <v>0</v>
      </c>
      <c r="G10" s="10"/>
      <c r="H10" s="31"/>
      <c r="I10" s="31"/>
      <c r="J10" s="28"/>
    </row>
    <row r="11" spans="2:10" ht="24.6">
      <c r="B11" s="85" t="s">
        <v>20</v>
      </c>
      <c r="C11" s="94">
        <f>Food[[#Totals],[Budgeted
cost]]</f>
        <v>0</v>
      </c>
      <c r="D11" s="94">
        <f>Food[[#Totals],[Actual
cost]]</f>
        <v>0</v>
      </c>
      <c r="E11" s="95">
        <f>'May - Overview'!$C11-'May - Overview'!$D11</f>
        <v>0</v>
      </c>
      <c r="G11" s="10"/>
      <c r="H11" s="116" t="s">
        <v>34</v>
      </c>
      <c r="I11" s="117"/>
      <c r="J11" s="31"/>
    </row>
    <row r="12" spans="2:10" ht="15">
      <c r="B12" s="87" t="s">
        <v>21</v>
      </c>
      <c r="C12" s="96">
        <f>Taxes[[#Totals],[Budgeted 
cost]]</f>
        <v>0</v>
      </c>
      <c r="D12" s="96">
        <f>Taxes[[#Totals],[Actual 
cost]]</f>
        <v>0</v>
      </c>
      <c r="E12" s="97">
        <f>'May - Overview'!$C12-'May - Overview'!$D12</f>
        <v>0</v>
      </c>
      <c r="G12" s="10"/>
      <c r="H12" s="41" t="s">
        <v>6</v>
      </c>
      <c r="I12" s="44"/>
      <c r="J12" s="30"/>
    </row>
    <row r="13" spans="2:10" ht="15">
      <c r="B13" s="85" t="s">
        <v>22</v>
      </c>
      <c r="C13" s="98">
        <f>Children[[#Totals],[Budgeted
cost]]</f>
        <v>0</v>
      </c>
      <c r="D13" s="98">
        <f>Children[[#Totals],[Actual
cost]]</f>
        <v>0</v>
      </c>
      <c r="E13" s="99">
        <f>'May - Overview'!$C13-'May - Overview'!$D13</f>
        <v>0</v>
      </c>
      <c r="G13" s="10"/>
      <c r="H13" s="69" t="s">
        <v>7</v>
      </c>
      <c r="I13" s="70"/>
      <c r="J13" s="28"/>
    </row>
    <row r="14" spans="2:10" ht="15">
      <c r="B14" s="87" t="s">
        <v>23</v>
      </c>
      <c r="C14" s="100">
        <f>PersonalCare[[#Totals],[Budgeted
cost]]</f>
        <v>0</v>
      </c>
      <c r="D14" s="100">
        <f>PersonalCare[[#Totals],[Actual
cost]]</f>
        <v>0</v>
      </c>
      <c r="E14" s="101">
        <f>'May - Overview'!$C14-'May - Overview'!$D14</f>
        <v>0</v>
      </c>
      <c r="G14" s="10"/>
      <c r="H14" s="41" t="s">
        <v>12</v>
      </c>
      <c r="I14" s="44"/>
      <c r="J14" s="28"/>
    </row>
    <row r="15" spans="2:10" ht="17.45">
      <c r="B15" s="85" t="s">
        <v>25</v>
      </c>
      <c r="C15" s="94">
        <f>Legal[[#Totals],[Budgeted
cost]]</f>
        <v>0</v>
      </c>
      <c r="D15" s="94">
        <f>Legal[[#Totals],[Actual
cost]]</f>
        <v>0</v>
      </c>
      <c r="E15" s="95">
        <f>'May - Overview'!$C15-'May - Overview'!$D15</f>
        <v>0</v>
      </c>
      <c r="G15" s="10"/>
      <c r="H15" s="46" t="s">
        <v>14</v>
      </c>
      <c r="I15" s="47">
        <f>SUM(I12:I14)</f>
        <v>0</v>
      </c>
      <c r="J15" s="28"/>
    </row>
    <row r="16" spans="2:10" ht="15">
      <c r="B16" s="87" t="s">
        <v>27</v>
      </c>
      <c r="C16" s="96">
        <f>Pets[[#Totals],[Budgeted
cost]]</f>
        <v>0</v>
      </c>
      <c r="D16" s="96">
        <f>Pets[[#Totals],[Actual
cost]]</f>
        <v>0</v>
      </c>
      <c r="E16" s="97">
        <f>'May - Overview'!$C16-'May - Overview'!$D16</f>
        <v>0</v>
      </c>
      <c r="G16" s="10"/>
      <c r="H16" s="31"/>
      <c r="I16" s="31"/>
      <c r="J16" s="28"/>
    </row>
    <row r="17" spans="2:10" ht="24.6">
      <c r="B17" s="85" t="s">
        <v>29</v>
      </c>
      <c r="C17" s="73">
        <f>Savings[[#Totals],[Budgeted
cost]]</f>
        <v>0</v>
      </c>
      <c r="D17" s="73">
        <f>Savings[[#Totals],[Actual
cost]]</f>
        <v>0</v>
      </c>
      <c r="E17" s="86">
        <f>'May - Overview'!$C17-'May - Overview'!$D17</f>
        <v>0</v>
      </c>
      <c r="F17" s="10"/>
      <c r="G17" s="8"/>
      <c r="H17" s="118" t="s">
        <v>24</v>
      </c>
      <c r="I17" s="119"/>
      <c r="J17" s="29"/>
    </row>
    <row r="18" spans="2:10" ht="15.6" thickBot="1">
      <c r="B18" s="87" t="s">
        <v>30</v>
      </c>
      <c r="C18" s="72">
        <f>Gifts[[#Totals],[Budgeted
cost]]</f>
        <v>0</v>
      </c>
      <c r="D18" s="72">
        <f>Gifts[[#Totals],[Actual
cost]]</f>
        <v>0</v>
      </c>
      <c r="E18" s="88">
        <f>'May - Overview'!$C18-'May - Overview'!$D18</f>
        <v>0</v>
      </c>
      <c r="F18" s="34"/>
      <c r="G18" s="35"/>
      <c r="H18" s="48" t="s">
        <v>35</v>
      </c>
      <c r="I18" s="49">
        <f>SUM(I9-'May - Overview'!$C$3:$C$3)</f>
        <v>0</v>
      </c>
      <c r="J18" s="29"/>
    </row>
    <row r="19" spans="2:10" s="32" customFormat="1" ht="25.15" thickTop="1">
      <c r="B19" s="91" t="s">
        <v>31</v>
      </c>
      <c r="C19" s="92">
        <f>SUBTOTAL(109,'May - Overview'!$C$6:$C$18)</f>
        <v>0</v>
      </c>
      <c r="D19" s="92">
        <f>SUBTOTAL(109,'May - Overview'!$D$6:$D$18)</f>
        <v>0</v>
      </c>
      <c r="E19" s="93">
        <f>SUBTOTAL(109,'May - Overview'!$E$6:$E$18)</f>
        <v>0</v>
      </c>
      <c r="H19" s="67" t="s">
        <v>36</v>
      </c>
      <c r="I19" s="68">
        <f>SUM(I15-D3)</f>
        <v>0</v>
      </c>
    </row>
    <row r="20" spans="2:10" ht="17.45">
      <c r="H20" s="52" t="s">
        <v>11</v>
      </c>
      <c r="I20" s="53">
        <f>SUM(I19-I18)</f>
        <v>0</v>
      </c>
    </row>
    <row r="21" spans="2:10" ht="30" customHeight="1">
      <c r="H21" s="8"/>
      <c r="I21" s="9"/>
    </row>
    <row r="22" spans="2:10" ht="30" customHeight="1">
      <c r="I22"/>
    </row>
    <row r="23" spans="2:10" ht="30" customHeight="1">
      <c r="I23"/>
    </row>
    <row r="24" spans="2:10" ht="30" customHeight="1">
      <c r="I24"/>
    </row>
    <row r="25" spans="2:10" ht="30" customHeight="1">
      <c r="I25"/>
    </row>
    <row r="26" spans="2:10" ht="30" customHeight="1">
      <c r="I26"/>
    </row>
    <row r="27" spans="2:10" ht="37.9" customHeight="1">
      <c r="I27"/>
    </row>
    <row r="28" spans="2:10" ht="30" customHeight="1">
      <c r="I28"/>
    </row>
    <row r="29" spans="2:10" ht="48" customHeight="1">
      <c r="I29"/>
    </row>
    <row r="30" spans="2:10" ht="30" customHeight="1">
      <c r="I30"/>
    </row>
    <row r="31" spans="2:10" ht="30" customHeight="1">
      <c r="I31"/>
    </row>
    <row r="32" spans="2:10" ht="30" customHeight="1">
      <c r="I32"/>
    </row>
    <row r="33" spans="9:9" ht="30" customHeight="1">
      <c r="I33"/>
    </row>
    <row r="34" spans="9:9" ht="30" customHeight="1">
      <c r="I34"/>
    </row>
    <row r="35" spans="9:9" ht="30" customHeight="1">
      <c r="I35"/>
    </row>
    <row r="36" spans="9:9" ht="30" customHeight="1">
      <c r="I36"/>
    </row>
    <row r="37" spans="9:9" ht="30" customHeight="1">
      <c r="I37"/>
    </row>
    <row r="38" spans="9:9" ht="30" customHeight="1">
      <c r="I38"/>
    </row>
    <row r="39" spans="9:9" ht="30" customHeight="1">
      <c r="I39"/>
    </row>
    <row r="40" spans="9:9" ht="37.9" customHeight="1">
      <c r="I40"/>
    </row>
    <row r="41" spans="9:9" ht="30" customHeight="1">
      <c r="I41"/>
    </row>
    <row r="42" spans="9:9" ht="48" customHeight="1">
      <c r="I42"/>
    </row>
    <row r="43" spans="9:9" ht="30" customHeight="1">
      <c r="I43"/>
    </row>
    <row r="44" spans="9:9" ht="30" customHeight="1">
      <c r="I44"/>
    </row>
    <row r="45" spans="9:9" ht="30" customHeight="1">
      <c r="I45"/>
    </row>
    <row r="46" spans="9:9" ht="30" customHeight="1">
      <c r="I46"/>
    </row>
    <row r="47" spans="9:9" ht="30" customHeight="1">
      <c r="I47"/>
    </row>
    <row r="48" spans="9:9" ht="30" customHeight="1">
      <c r="I48"/>
    </row>
    <row r="49" spans="9:9" ht="37.9" customHeight="1">
      <c r="I49"/>
    </row>
    <row r="50" spans="9:9" ht="30" customHeight="1">
      <c r="I50"/>
    </row>
    <row r="51" spans="9:9" ht="48" customHeight="1">
      <c r="I51"/>
    </row>
    <row r="52" spans="9:9" ht="30" customHeight="1">
      <c r="I52"/>
    </row>
    <row r="53" spans="9:9" ht="30" customHeight="1">
      <c r="I53"/>
    </row>
    <row r="54" spans="9:9" ht="30" customHeight="1">
      <c r="I54"/>
    </row>
    <row r="55" spans="9:9" ht="30" customHeight="1">
      <c r="I55"/>
    </row>
    <row r="56" spans="9:9" ht="30" customHeight="1">
      <c r="I56"/>
    </row>
    <row r="57" spans="9:9" ht="30" customHeight="1">
      <c r="I57"/>
    </row>
    <row r="58" spans="9:9" ht="30" customHeight="1">
      <c r="I58"/>
    </row>
    <row r="59" spans="9:9" ht="30" customHeight="1">
      <c r="I59"/>
    </row>
    <row r="60" spans="9:9" ht="30" customHeight="1">
      <c r="I60"/>
    </row>
    <row r="61" spans="9:9" ht="30" customHeight="1">
      <c r="I61"/>
    </row>
  </sheetData>
  <mergeCells count="4">
    <mergeCell ref="B1:H1"/>
    <mergeCell ref="H5:I5"/>
    <mergeCell ref="H11:I11"/>
    <mergeCell ref="H17:I17"/>
  </mergeCells>
  <conditionalFormatting sqref="B1 I1:J4 B2:F2 B3 D3:F3 F4 H5:H6 G5:G16 J5:J18 I6 H7:I10 H11 H12:I15 H16:H17 F17:G18 H18:I21">
    <cfRule type="cellIs" dxfId="879" priority="5" operator="lessThan">
      <formula>0</formula>
    </cfRule>
  </conditionalFormatting>
  <conditionalFormatting sqref="B6:E19">
    <cfRule type="cellIs" dxfId="878" priority="1" operator="lessThan">
      <formula>0</formula>
    </cfRule>
  </conditionalFormatting>
  <conditionalFormatting sqref="C3">
    <cfRule type="cellIs" dxfId="877" priority="4" operator="lessThan">
      <formula>0</formula>
    </cfRule>
  </conditionalFormatting>
  <conditionalFormatting sqref="E3">
    <cfRule type="iconSet" priority="3">
      <iconSet iconSet="3Arrows">
        <cfvo type="percentile" val="0"/>
        <cfvo type="num" val="-50"/>
        <cfvo type="num" val="50"/>
      </iconSet>
    </cfRule>
  </conditionalFormatting>
  <conditionalFormatting sqref="E6:E18">
    <cfRule type="iconSet" priority="2">
      <iconSet iconSet="3Arrows">
        <cfvo type="percentile" val="0"/>
        <cfvo type="num" val="-50"/>
        <cfvo type="num" val="50"/>
      </iconSet>
    </cfRule>
  </conditionalFormatting>
  <conditionalFormatting sqref="I20:I21">
    <cfRule type="iconSet" priority="6">
      <iconSet iconSet="3Arrows">
        <cfvo type="percentile" val="0"/>
        <cfvo type="num" val="-50"/>
        <cfvo type="num" val="50"/>
      </iconSet>
    </cfRule>
  </conditionalFormatting>
  <dataValidations count="11">
    <dataValidation allowBlank="1" showInputMessage="1" showErrorMessage="1" prompt="Total Projected, Actual, and Difference is auto calculated in this table" sqref="B2" xr:uid="{7B16B74E-0F4E-43F6-A6AA-122D46EC6C2F}"/>
    <dataValidation allowBlank="1" showInputMessage="1" showErrorMessage="1" prompt="Balance is in this column under this heading" sqref="H17" xr:uid="{F6C69CD3-DA5C-4BFF-B587-FC8C09A86BF5}"/>
    <dataValidation allowBlank="1" showInputMessage="1" showErrorMessage="1" prompt="Balance table below is auto updated" sqref="H16" xr:uid="{354DC4D4-1E8D-46A7-9852-8AA8CB9ABAB2}"/>
    <dataValidation allowBlank="1" showInputMessage="1" showErrorMessage="1" prompt="Enter Actual Monthly Income Source in this column under this heading" sqref="H11" xr:uid="{EECEB641-A11F-4785-BAA6-62FA149D2E9C}"/>
    <dataValidation allowBlank="1" showInputMessage="1" showErrorMessage="1" prompt="Enter details in Actual Monthly Income table below" sqref="H10" xr:uid="{D21A7C0F-2162-466D-A2AE-254E78C766E4}"/>
    <dataValidation allowBlank="1" showInputMessage="1" showErrorMessage="1" prompt="Enter Projected Monthly Income Source in this column under this heading" sqref="H5" xr:uid="{427289F6-0888-4DA6-B1CB-77EFC1AE4EC4}"/>
    <dataValidation allowBlank="1" showInputMessage="1" showErrorMessage="1" prompt="Total Difference is auto calculated in cell below" sqref="E2" xr:uid="{09D8FA34-3FDB-40A1-B821-B499FB66C903}"/>
    <dataValidation allowBlank="1" showInputMessage="1" showErrorMessage="1" prompt="Total Actual Cost is auto calculated in cell below" sqref="D2" xr:uid="{94B7234A-43C9-48E9-94B3-A0D892B917DE}"/>
    <dataValidation allowBlank="1" showInputMessage="1" showErrorMessage="1" prompt="Total Projected Cost is auto calculated in cell below" sqref="C2" xr:uid="{28D5FF78-2663-498F-B538-F6044975C2DC}"/>
    <dataValidation allowBlank="1" showInputMessage="1" showErrorMessage="1" prompt="Title of this worksheet is in this cell. Summary is in table below. Sample expense categories are in separate tables starting in B5. Enter income amounts starting in cell G2" sqref="B1" xr:uid="{21820E66-FA05-4089-B7F3-0243271E76CD}"/>
    <dataValidation allowBlank="1" showInputMessage="1" showErrorMessage="1" prompt="Create a Family Budget Planner in this worksheet. Enter details in tables. Total Projected and Actual Costs, Projected and Actual Balance, and Difference are auto calculated" sqref="A1" xr:uid="{AE154F66-8288-4732-ACBA-7E2F5E8331AB}"/>
  </dataValidations>
  <printOptions horizontalCentered="1"/>
  <pageMargins left="0.23622047244094491" right="0.23622047244094491" top="0.51181102362204722" bottom="0.51181102362204722" header="0.51181102362204722" footer="0.51181102362204722"/>
  <pageSetup scale="60" orientation="landscape" r:id="rId1"/>
  <headerFooter alignWithMargins="0"/>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61F35-B5A6-4659-9137-2BDA0B591B44}">
  <sheetPr>
    <tabColor theme="2" tint="-9.9978637043366805E-2"/>
  </sheetPr>
  <dimension ref="B1:L74"/>
  <sheetViews>
    <sheetView topLeftCell="A9" zoomScale="70" zoomScaleNormal="70" workbookViewId="0">
      <selection activeCell="I36" sqref="I36"/>
    </sheetView>
  </sheetViews>
  <sheetFormatPr defaultColWidth="9" defaultRowHeight="13.9"/>
  <cols>
    <col min="1" max="1" width="2.375" style="12" customWidth="1"/>
    <col min="2" max="2" width="29.75" style="12" bestFit="1" customWidth="1"/>
    <col min="3" max="3" width="13.5" style="12" bestFit="1" customWidth="1"/>
    <col min="4" max="4" width="10.25" style="12" bestFit="1" customWidth="1"/>
    <col min="5" max="5" width="14.875" style="66" bestFit="1" customWidth="1"/>
    <col min="6" max="6" width="14.25" style="12" bestFit="1" customWidth="1"/>
    <col min="7" max="7" width="5.5" style="12" customWidth="1"/>
    <col min="8" max="8" width="28.125" style="12" bestFit="1" customWidth="1"/>
    <col min="9" max="9" width="13.5" style="12" bestFit="1" customWidth="1"/>
    <col min="10" max="10" width="10.25" style="12" bestFit="1" customWidth="1"/>
    <col min="11" max="11" width="12.875" style="12" bestFit="1" customWidth="1"/>
    <col min="12" max="12" width="14.25" style="12" bestFit="1" customWidth="1"/>
    <col min="13" max="16384" width="9" style="12"/>
  </cols>
  <sheetData>
    <row r="1" spans="2:12" ht="15" customHeight="1">
      <c r="B1" s="56"/>
      <c r="C1" s="56"/>
      <c r="D1" s="56"/>
      <c r="E1" s="74"/>
      <c r="F1" s="75"/>
      <c r="G1" s="56"/>
      <c r="H1" s="56"/>
      <c r="I1" s="56"/>
      <c r="J1" s="56"/>
    </row>
    <row r="2" spans="2:12" ht="15" customHeight="1">
      <c r="B2" s="22" t="s">
        <v>13</v>
      </c>
      <c r="C2" s="21" t="s">
        <v>9</v>
      </c>
      <c r="D2" s="21" t="s">
        <v>10</v>
      </c>
      <c r="E2" s="57" t="s">
        <v>37</v>
      </c>
      <c r="F2" s="21" t="s">
        <v>11</v>
      </c>
      <c r="G2" s="56"/>
      <c r="H2" s="22" t="s">
        <v>29</v>
      </c>
      <c r="I2" s="21" t="s">
        <v>9</v>
      </c>
      <c r="J2" s="21" t="s">
        <v>10</v>
      </c>
      <c r="K2" s="63" t="s">
        <v>37</v>
      </c>
      <c r="L2" s="21" t="s">
        <v>11</v>
      </c>
    </row>
    <row r="3" spans="2:12" ht="15" customHeight="1">
      <c r="B3" s="18" t="s">
        <v>38</v>
      </c>
      <c r="C3" s="17"/>
      <c r="D3" s="17"/>
      <c r="E3" s="58"/>
      <c r="F3" s="17">
        <f>Housing102115128141[[#This Row],[Budgeted
cost]]-Housing102115128141[[#This Row],[Actual
cost]]</f>
        <v>0</v>
      </c>
      <c r="G3" s="56"/>
      <c r="H3" s="18" t="s">
        <v>39</v>
      </c>
      <c r="I3" s="17"/>
      <c r="J3" s="17"/>
      <c r="K3" s="58"/>
      <c r="L3" s="17">
        <f>Savings92105118131[[#This Row],[Budgeted
cost]]-Savings92105118131[[#This Row],[Actual
cost]]</f>
        <v>0</v>
      </c>
    </row>
    <row r="4" spans="2:12" ht="15" customHeight="1">
      <c r="B4" s="18" t="s">
        <v>40</v>
      </c>
      <c r="C4" s="17"/>
      <c r="D4" s="17"/>
      <c r="E4" s="58"/>
      <c r="F4" s="17">
        <f>Housing102115128141[[#This Row],[Budgeted
cost]]-Housing102115128141[[#This Row],[Actual
cost]]</f>
        <v>0</v>
      </c>
      <c r="G4" s="56"/>
      <c r="H4" s="18" t="s">
        <v>41</v>
      </c>
      <c r="I4" s="17"/>
      <c r="J4" s="17"/>
      <c r="K4" s="58"/>
      <c r="L4" s="17">
        <f>Savings92105118131[[#This Row],[Budgeted
cost]]-Savings92105118131[[#This Row],[Actual
cost]]</f>
        <v>0</v>
      </c>
    </row>
    <row r="5" spans="2:12" ht="15" customHeight="1">
      <c r="B5" s="18" t="s">
        <v>42</v>
      </c>
      <c r="C5" s="17"/>
      <c r="D5" s="17"/>
      <c r="E5" s="58"/>
      <c r="F5" s="17">
        <f>Housing102115128141[[#This Row],[Budgeted
cost]]-Housing102115128141[[#This Row],[Actual
cost]]</f>
        <v>0</v>
      </c>
      <c r="G5" s="56"/>
      <c r="H5" s="18" t="s">
        <v>43</v>
      </c>
      <c r="I5" s="17"/>
      <c r="J5" s="17"/>
      <c r="K5" s="58"/>
      <c r="L5" s="17">
        <f>Savings92105118131[[#This Row],[Budgeted
cost]]-Savings92105118131[[#This Row],[Actual
cost]]</f>
        <v>0</v>
      </c>
    </row>
    <row r="6" spans="2:12" ht="15" customHeight="1">
      <c r="B6" s="18" t="s">
        <v>44</v>
      </c>
      <c r="C6" s="17"/>
      <c r="D6" s="17"/>
      <c r="E6" s="58"/>
      <c r="F6" s="17">
        <f>Housing102115128141[[#This Row],[Budgeted
cost]]-Housing102115128141[[#This Row],[Actual
cost]]</f>
        <v>0</v>
      </c>
      <c r="G6" s="56"/>
      <c r="H6" s="18" t="s">
        <v>45</v>
      </c>
      <c r="I6" s="17"/>
      <c r="J6" s="17"/>
      <c r="K6" s="58"/>
      <c r="L6" s="17">
        <f>Savings92105118131[[#This Row],[Budgeted
cost]]-Savings92105118131[[#This Row],[Actual
cost]]</f>
        <v>0</v>
      </c>
    </row>
    <row r="7" spans="2:12" ht="15" customHeight="1">
      <c r="B7" s="18" t="s">
        <v>46</v>
      </c>
      <c r="C7" s="17"/>
      <c r="D7" s="17"/>
      <c r="E7" s="58"/>
      <c r="F7" s="17">
        <f>Housing102115128141[[#This Row],[Budgeted
cost]]-Housing102115128141[[#This Row],[Actual
cost]]</f>
        <v>0</v>
      </c>
      <c r="G7" s="56"/>
      <c r="H7" s="18" t="s">
        <v>47</v>
      </c>
      <c r="I7" s="17"/>
      <c r="J7" s="17"/>
      <c r="K7" s="58"/>
      <c r="L7" s="17">
        <f>Savings92105118131[[#This Row],[Budgeted
cost]]-Savings92105118131[[#This Row],[Actual
cost]]</f>
        <v>0</v>
      </c>
    </row>
    <row r="8" spans="2:12" ht="15" customHeight="1">
      <c r="B8" s="18" t="s">
        <v>48</v>
      </c>
      <c r="C8" s="17"/>
      <c r="D8" s="17"/>
      <c r="E8" s="58"/>
      <c r="F8" s="17">
        <f>Housing102115128141[[#This Row],[Budgeted
cost]]-Housing102115128141[[#This Row],[Actual
cost]]</f>
        <v>0</v>
      </c>
      <c r="G8" s="56"/>
      <c r="H8" s="18" t="s">
        <v>49</v>
      </c>
      <c r="I8" s="17"/>
      <c r="J8" s="17"/>
      <c r="K8" s="58"/>
      <c r="L8" s="17">
        <f>Savings92105118131[[#This Row],[Budgeted
cost]]-Savings92105118131[[#This Row],[Actual
cost]]</f>
        <v>0</v>
      </c>
    </row>
    <row r="9" spans="2:12" ht="15" customHeight="1">
      <c r="B9" s="18" t="s">
        <v>50</v>
      </c>
      <c r="C9" s="17"/>
      <c r="D9" s="17"/>
      <c r="E9" s="58"/>
      <c r="F9" s="17">
        <f>Housing102115128141[[#This Row],[Budgeted
cost]]-Housing102115128141[[#This Row],[Actual
cost]]</f>
        <v>0</v>
      </c>
      <c r="G9" s="56"/>
      <c r="H9" s="18" t="s">
        <v>49</v>
      </c>
      <c r="I9" s="17"/>
      <c r="J9" s="17"/>
      <c r="K9" s="58"/>
      <c r="L9" s="17">
        <f>Savings92105118131[[#This Row],[Budgeted
cost]]-Savings92105118131[[#This Row],[Actual
cost]]</f>
        <v>0</v>
      </c>
    </row>
    <row r="10" spans="2:12" ht="15" customHeight="1">
      <c r="B10" s="18" t="s">
        <v>51</v>
      </c>
      <c r="C10" s="17"/>
      <c r="D10" s="17"/>
      <c r="E10" s="58"/>
      <c r="F10" s="17">
        <f>Housing102115128141[[#This Row],[Budgeted
cost]]-Housing102115128141[[#This Row],[Actual
cost]]</f>
        <v>0</v>
      </c>
      <c r="G10" s="56"/>
      <c r="H10" s="18" t="s">
        <v>31</v>
      </c>
      <c r="I10" s="19">
        <f>SUBTOTAL(109,Savings92105118131[Budgeted
cost])</f>
        <v>0</v>
      </c>
      <c r="J10" s="19">
        <f>SUBTOTAL(109,Savings92105118131[Actual
cost])</f>
        <v>0</v>
      </c>
      <c r="K10" s="61"/>
      <c r="L10" s="19">
        <f>SUBTOTAL(109,Savings92105118131[Difference])</f>
        <v>0</v>
      </c>
    </row>
    <row r="11" spans="2:12" ht="15" customHeight="1">
      <c r="B11" s="18" t="s">
        <v>52</v>
      </c>
      <c r="C11" s="17"/>
      <c r="D11" s="17"/>
      <c r="E11" s="58"/>
      <c r="F11" s="17">
        <f>Housing102115128141[[#This Row],[Budgeted
cost]]-Housing102115128141[[#This Row],[Actual
cost]]</f>
        <v>0</v>
      </c>
      <c r="G11" s="56"/>
      <c r="H11" s="56"/>
      <c r="I11" s="56"/>
      <c r="J11" s="56"/>
    </row>
    <row r="12" spans="2:12" ht="15" customHeight="1">
      <c r="B12" s="18" t="s">
        <v>49</v>
      </c>
      <c r="C12" s="17"/>
      <c r="D12" s="17"/>
      <c r="E12" s="58"/>
      <c r="F12" s="17">
        <f>Housing102115128141[[#This Row],[Budgeted
cost]]-Housing102115128141[[#This Row],[Actual
cost]]</f>
        <v>0</v>
      </c>
      <c r="G12" s="56"/>
    </row>
    <row r="13" spans="2:12" ht="15" customHeight="1">
      <c r="B13" s="18" t="s">
        <v>31</v>
      </c>
      <c r="C13" s="19">
        <f>SUBTOTAL(109,Housing102115128141[Budgeted
cost])</f>
        <v>0</v>
      </c>
      <c r="D13" s="19">
        <f>SUBTOTAL(109,Housing102115128141[Actual
cost])</f>
        <v>0</v>
      </c>
      <c r="E13"/>
      <c r="F13" s="19">
        <f>SUBTOTAL(109,Housing102115128141[Difference])</f>
        <v>0</v>
      </c>
      <c r="G13" s="56"/>
    </row>
    <row r="14" spans="2:12" ht="15" customHeight="1">
      <c r="B14" s="56"/>
      <c r="C14" s="56"/>
      <c r="D14" s="56"/>
      <c r="E14" s="74"/>
      <c r="F14" s="75"/>
      <c r="G14" s="56"/>
    </row>
    <row r="15" spans="2:12" ht="27.6">
      <c r="B15" s="22" t="s">
        <v>15</v>
      </c>
      <c r="C15" s="21" t="s">
        <v>9</v>
      </c>
      <c r="D15" s="21" t="s">
        <v>10</v>
      </c>
      <c r="E15" s="60" t="s">
        <v>37</v>
      </c>
      <c r="F15" s="21" t="s">
        <v>11</v>
      </c>
      <c r="G15" s="13"/>
      <c r="H15" s="22" t="s">
        <v>23</v>
      </c>
      <c r="I15" s="21" t="s">
        <v>9</v>
      </c>
      <c r="J15" s="23" t="s">
        <v>10</v>
      </c>
      <c r="K15" s="63" t="s">
        <v>37</v>
      </c>
      <c r="L15" s="21" t="s">
        <v>11</v>
      </c>
    </row>
    <row r="16" spans="2:12">
      <c r="B16" s="18" t="s">
        <v>53</v>
      </c>
      <c r="C16" s="17"/>
      <c r="D16" s="17"/>
      <c r="E16" s="58"/>
      <c r="F16" s="17">
        <f>Transportation101114127140[[#This Row],[Budgeted
cost]]-Transportation101114127140[[#This Row],[Actual
cost]]</f>
        <v>0</v>
      </c>
      <c r="G16" s="13"/>
      <c r="H16" s="18" t="s">
        <v>54</v>
      </c>
      <c r="I16" s="17"/>
      <c r="J16" s="17"/>
      <c r="K16" s="58"/>
      <c r="L16" s="17">
        <f>PersonalCare96109122135[[#This Row],[Budgeted
cost]]-PersonalCare96109122135[[#This Row],[Actual
cost]]</f>
        <v>0</v>
      </c>
    </row>
    <row r="17" spans="2:12">
      <c r="B17" s="18" t="s">
        <v>55</v>
      </c>
      <c r="C17" s="17"/>
      <c r="D17" s="17"/>
      <c r="E17" s="58"/>
      <c r="F17" s="17">
        <f>Transportation101114127140[[#This Row],[Budgeted
cost]]-Transportation101114127140[[#This Row],[Actual
cost]]</f>
        <v>0</v>
      </c>
      <c r="G17" s="13"/>
      <c r="H17" s="18" t="s">
        <v>56</v>
      </c>
      <c r="I17" s="17"/>
      <c r="J17" s="17"/>
      <c r="K17" s="58"/>
      <c r="L17" s="17">
        <f>PersonalCare96109122135[[#This Row],[Budgeted
cost]]-PersonalCare96109122135[[#This Row],[Actual
cost]]</f>
        <v>0</v>
      </c>
    </row>
    <row r="18" spans="2:12">
      <c r="B18" s="18" t="s">
        <v>57</v>
      </c>
      <c r="C18" s="17"/>
      <c r="D18" s="17"/>
      <c r="E18" s="58"/>
      <c r="F18" s="17">
        <f>Transportation101114127140[[#This Row],[Budgeted
cost]]-Transportation101114127140[[#This Row],[Actual
cost]]</f>
        <v>0</v>
      </c>
      <c r="G18" s="13"/>
      <c r="H18" s="18" t="s">
        <v>58</v>
      </c>
      <c r="I18" s="17"/>
      <c r="J18" s="17"/>
      <c r="K18" s="58"/>
      <c r="L18" s="17">
        <f>PersonalCare96109122135[[#This Row],[Budgeted
cost]]-PersonalCare96109122135[[#This Row],[Actual
cost]]</f>
        <v>0</v>
      </c>
    </row>
    <row r="19" spans="2:12">
      <c r="B19" s="18" t="s">
        <v>18</v>
      </c>
      <c r="C19" s="17"/>
      <c r="D19" s="17"/>
      <c r="E19" s="58"/>
      <c r="F19" s="17">
        <f>Transportation101114127140[[#This Row],[Budgeted
cost]]-Transportation101114127140[[#This Row],[Actual
cost]]</f>
        <v>0</v>
      </c>
      <c r="G19" s="13"/>
      <c r="H19" s="18" t="s">
        <v>59</v>
      </c>
      <c r="I19" s="17"/>
      <c r="J19" s="17"/>
      <c r="K19" s="58"/>
      <c r="L19" s="17">
        <f>PersonalCare96109122135[[#This Row],[Budgeted
cost]]-PersonalCare96109122135[[#This Row],[Actual
cost]]</f>
        <v>0</v>
      </c>
    </row>
    <row r="20" spans="2:12">
      <c r="B20" s="18" t="s">
        <v>60</v>
      </c>
      <c r="C20" s="17"/>
      <c r="D20" s="17"/>
      <c r="E20" s="58"/>
      <c r="F20" s="17">
        <f>Transportation101114127140[[#This Row],[Budgeted
cost]]-Transportation101114127140[[#This Row],[Actual
cost]]</f>
        <v>0</v>
      </c>
      <c r="G20" s="13"/>
      <c r="H20" s="18" t="s">
        <v>61</v>
      </c>
      <c r="I20" s="17"/>
      <c r="J20" s="17"/>
      <c r="K20" s="58"/>
      <c r="L20" s="17">
        <f>PersonalCare96109122135[[#This Row],[Budgeted
cost]]-PersonalCare96109122135[[#This Row],[Actual
cost]]</f>
        <v>0</v>
      </c>
    </row>
    <row r="21" spans="2:12">
      <c r="B21" s="18" t="s">
        <v>62</v>
      </c>
      <c r="C21" s="17"/>
      <c r="D21" s="17"/>
      <c r="E21" s="58"/>
      <c r="F21" s="17">
        <f>Transportation101114127140[[#This Row],[Budgeted
cost]]-Transportation101114127140[[#This Row],[Actual
cost]]</f>
        <v>0</v>
      </c>
      <c r="G21" s="13"/>
      <c r="H21" s="18" t="s">
        <v>63</v>
      </c>
      <c r="I21" s="17"/>
      <c r="J21" s="17"/>
      <c r="K21" s="58"/>
      <c r="L21" s="17">
        <f>PersonalCare96109122135[[#This Row],[Budgeted
cost]]-PersonalCare96109122135[[#This Row],[Actual
cost]]</f>
        <v>0</v>
      </c>
    </row>
    <row r="22" spans="2:12">
      <c r="B22" s="18" t="s">
        <v>64</v>
      </c>
      <c r="C22" s="17"/>
      <c r="D22" s="17"/>
      <c r="E22" s="58"/>
      <c r="F22" s="17">
        <f>Transportation101114127140[[#This Row],[Budgeted
cost]]-Transportation101114127140[[#This Row],[Actual
cost]]</f>
        <v>0</v>
      </c>
      <c r="G22" s="13"/>
      <c r="H22" s="18" t="s">
        <v>49</v>
      </c>
      <c r="I22" s="17"/>
      <c r="J22" s="17"/>
      <c r="K22" s="58"/>
      <c r="L22" s="17">
        <f>PersonalCare96109122135[[#This Row],[Budgeted
cost]]-PersonalCare96109122135[[#This Row],[Actual
cost]]</f>
        <v>0</v>
      </c>
    </row>
    <row r="23" spans="2:12">
      <c r="B23" s="18" t="s">
        <v>49</v>
      </c>
      <c r="C23" s="17"/>
      <c r="D23" s="17"/>
      <c r="E23" s="58"/>
      <c r="F23" s="17">
        <f>Transportation101114127140[[#This Row],[Budgeted
cost]]-Transportation101114127140[[#This Row],[Actual
cost]]</f>
        <v>0</v>
      </c>
      <c r="G23" s="13"/>
      <c r="H23" s="18" t="s">
        <v>49</v>
      </c>
      <c r="I23" s="17"/>
      <c r="J23" s="17"/>
      <c r="K23" s="58"/>
      <c r="L23" s="17">
        <f>PersonalCare96109122135[[#This Row],[Budgeted
cost]]-PersonalCare96109122135[[#This Row],[Actual
cost]]</f>
        <v>0</v>
      </c>
    </row>
    <row r="24" spans="2:12">
      <c r="B24" s="18" t="s">
        <v>49</v>
      </c>
      <c r="C24" s="17"/>
      <c r="D24" s="17"/>
      <c r="E24" s="58"/>
      <c r="F24" s="17">
        <f>Transportation101114127140[[#This Row],[Budgeted
cost]]-Transportation101114127140[[#This Row],[Actual
cost]]</f>
        <v>0</v>
      </c>
      <c r="G24" s="13"/>
      <c r="H24" s="18" t="s">
        <v>31</v>
      </c>
      <c r="I24" s="19">
        <f>SUBTOTAL(109,PersonalCare96109122135[Budgeted
cost])</f>
        <v>0</v>
      </c>
      <c r="J24" s="19">
        <f>SUBTOTAL(109,PersonalCare96109122135[Actual
cost])</f>
        <v>0</v>
      </c>
      <c r="K24" s="61"/>
      <c r="L24" s="19">
        <f>SUBTOTAL(109,PersonalCare96109122135[Difference])</f>
        <v>0</v>
      </c>
    </row>
    <row r="25" spans="2:12">
      <c r="B25" s="18" t="s">
        <v>31</v>
      </c>
      <c r="C25" s="19">
        <f>SUBTOTAL(109,Transportation101114127140[Budgeted
cost])</f>
        <v>0</v>
      </c>
      <c r="D25" s="19">
        <f>SUBTOTAL(109,Transportation101114127140[Actual
cost])</f>
        <v>0</v>
      </c>
      <c r="E25" s="61"/>
      <c r="F25" s="19">
        <f>SUBTOTAL(109,Transportation101114127140[Difference])</f>
        <v>0</v>
      </c>
      <c r="G25" s="13"/>
    </row>
    <row r="26" spans="2:12" ht="17.45">
      <c r="B26" s="7"/>
      <c r="C26" s="6"/>
      <c r="D26" s="6"/>
      <c r="E26" s="62"/>
      <c r="F26" s="13"/>
    </row>
    <row r="27" spans="2:12" ht="27.6">
      <c r="B27" s="22" t="s">
        <v>18</v>
      </c>
      <c r="C27" s="21" t="s">
        <v>9</v>
      </c>
      <c r="D27" s="21" t="s">
        <v>10</v>
      </c>
      <c r="E27" s="63" t="s">
        <v>37</v>
      </c>
      <c r="F27" s="21" t="s">
        <v>11</v>
      </c>
      <c r="G27" s="13"/>
      <c r="H27" s="22" t="s">
        <v>27</v>
      </c>
      <c r="I27" s="21" t="s">
        <v>9</v>
      </c>
      <c r="J27" s="23" t="s">
        <v>10</v>
      </c>
      <c r="K27" s="63" t="s">
        <v>37</v>
      </c>
      <c r="L27" s="21" t="s">
        <v>11</v>
      </c>
    </row>
    <row r="28" spans="2:12">
      <c r="B28" s="18" t="s">
        <v>65</v>
      </c>
      <c r="C28" s="17"/>
      <c r="D28" s="17"/>
      <c r="E28" s="58"/>
      <c r="F28" s="17">
        <f>Insurance100113126139[[#This Row],[Budgeted
cost]]-Insurance100113126139[[#This Row],[Actual
cost]]</f>
        <v>0</v>
      </c>
      <c r="G28" s="13"/>
      <c r="H28" s="18" t="s">
        <v>20</v>
      </c>
      <c r="I28" s="17"/>
      <c r="J28" s="17"/>
      <c r="K28" s="58"/>
      <c r="L28" s="17">
        <f>Pets97110123136[[#This Row],[Budgeted
cost]]-Pets97110123136[[#This Row],[Actual
cost]]</f>
        <v>0</v>
      </c>
    </row>
    <row r="29" spans="2:12">
      <c r="B29" s="18" t="s">
        <v>66</v>
      </c>
      <c r="C29" s="17"/>
      <c r="D29" s="17"/>
      <c r="E29" s="58"/>
      <c r="F29" s="17">
        <f>Insurance100113126139[[#This Row],[Budgeted
cost]]-Insurance100113126139[[#This Row],[Actual
cost]]</f>
        <v>0</v>
      </c>
      <c r="G29" s="13"/>
      <c r="H29" s="18" t="s">
        <v>54</v>
      </c>
      <c r="I29" s="17"/>
      <c r="J29" s="17"/>
      <c r="K29" s="58"/>
      <c r="L29" s="17">
        <f>Pets97110123136[[#This Row],[Budgeted
cost]]-Pets97110123136[[#This Row],[Actual
cost]]</f>
        <v>0</v>
      </c>
    </row>
    <row r="30" spans="2:12">
      <c r="B30" s="18" t="s">
        <v>67</v>
      </c>
      <c r="C30" s="17"/>
      <c r="D30" s="17"/>
      <c r="E30" s="58"/>
      <c r="F30" s="17">
        <f>Insurance100113126139[[#This Row],[Budgeted
cost]]-Insurance100113126139[[#This Row],[Actual
cost]]</f>
        <v>0</v>
      </c>
      <c r="G30" s="13"/>
      <c r="H30" s="18" t="s">
        <v>68</v>
      </c>
      <c r="I30" s="17"/>
      <c r="J30" s="17"/>
      <c r="K30" s="58"/>
      <c r="L30" s="17">
        <f>Pets97110123136[[#This Row],[Budgeted
cost]]-Pets97110123136[[#This Row],[Actual
cost]]</f>
        <v>0</v>
      </c>
    </row>
    <row r="31" spans="2:12">
      <c r="B31" s="18" t="s">
        <v>49</v>
      </c>
      <c r="C31" s="17"/>
      <c r="D31" s="17"/>
      <c r="E31" s="58"/>
      <c r="F31" s="17">
        <f>Insurance100113126139[[#This Row],[Budgeted
cost]]-Insurance100113126139[[#This Row],[Actual
cost]]</f>
        <v>0</v>
      </c>
      <c r="G31" s="13"/>
      <c r="H31" s="18" t="s">
        <v>69</v>
      </c>
      <c r="I31" s="17"/>
      <c r="J31" s="17"/>
      <c r="K31" s="58"/>
      <c r="L31" s="17">
        <f>Pets97110123136[[#This Row],[Budgeted
cost]]-Pets97110123136[[#This Row],[Actual
cost]]</f>
        <v>0</v>
      </c>
    </row>
    <row r="32" spans="2:12">
      <c r="B32" s="18" t="s">
        <v>49</v>
      </c>
      <c r="C32" s="17"/>
      <c r="D32" s="17"/>
      <c r="E32" s="58"/>
      <c r="F32" s="17">
        <f>Insurance100113126139[[#This Row],[Budgeted
cost]]-Insurance100113126139[[#This Row],[Actual
cost]]</f>
        <v>0</v>
      </c>
      <c r="G32" s="13"/>
      <c r="H32" s="18" t="s">
        <v>49</v>
      </c>
      <c r="I32" s="17"/>
      <c r="J32" s="17"/>
      <c r="K32" s="58"/>
      <c r="L32" s="17">
        <f>Pets97110123136[[#This Row],[Budgeted
cost]]-Pets97110123136[[#This Row],[Actual
cost]]</f>
        <v>0</v>
      </c>
    </row>
    <row r="33" spans="2:12">
      <c r="B33" s="18" t="s">
        <v>31</v>
      </c>
      <c r="C33" s="19">
        <f>SUBTOTAL(109,Insurance100113126139[Budgeted
cost])</f>
        <v>0</v>
      </c>
      <c r="D33" s="19">
        <f>SUBTOTAL(109,Insurance100113126139[Actual
cost])</f>
        <v>0</v>
      </c>
      <c r="E33" s="61"/>
      <c r="F33" s="19">
        <f>SUBTOTAL(109,Insurance100113126139[Difference])</f>
        <v>0</v>
      </c>
      <c r="G33" s="13"/>
      <c r="H33" s="18" t="s">
        <v>31</v>
      </c>
      <c r="I33" s="19">
        <f>SUBTOTAL(109,Pets97110123136[Budgeted
cost])</f>
        <v>0</v>
      </c>
      <c r="J33" s="19">
        <f>SUBTOTAL(109,Pets97110123136[Actual
cost])</f>
        <v>0</v>
      </c>
      <c r="K33" s="64"/>
      <c r="L33" s="19">
        <f>SUBTOTAL(109,Pets97110123136[Difference])</f>
        <v>0</v>
      </c>
    </row>
    <row r="34" spans="2:12" ht="17.45">
      <c r="B34" s="7"/>
      <c r="C34" s="6"/>
      <c r="D34" s="6"/>
      <c r="E34" s="62"/>
      <c r="F34" s="13"/>
    </row>
    <row r="35" spans="2:12" ht="27.6">
      <c r="B35" s="22" t="s">
        <v>20</v>
      </c>
      <c r="C35" s="57" t="s">
        <v>9</v>
      </c>
      <c r="D35" s="21" t="s">
        <v>10</v>
      </c>
      <c r="E35" s="63" t="s">
        <v>37</v>
      </c>
      <c r="F35" s="21" t="s">
        <v>11</v>
      </c>
      <c r="H35" s="22" t="s">
        <v>21</v>
      </c>
      <c r="I35" s="21" t="s">
        <v>70</v>
      </c>
      <c r="J35" s="23" t="s">
        <v>71</v>
      </c>
      <c r="K35" s="63" t="s">
        <v>37</v>
      </c>
      <c r="L35" s="21" t="s">
        <v>11</v>
      </c>
    </row>
    <row r="36" spans="2:12">
      <c r="B36" s="18" t="s">
        <v>72</v>
      </c>
      <c r="C36" s="17"/>
      <c r="D36" s="17"/>
      <c r="E36" s="58"/>
      <c r="F36" s="17">
        <f>Food99112125138[[#This Row],[Budgeted
cost]]-Food99112125138[[#This Row],[Actual
cost]]</f>
        <v>0</v>
      </c>
      <c r="H36" s="18" t="s">
        <v>73</v>
      </c>
      <c r="I36" s="17"/>
      <c r="J36" s="17"/>
      <c r="K36" s="58"/>
      <c r="L36" s="17">
        <f>Taxes93106119132[[#This Row],[Budgeted 
cost]]-Taxes93106119132[[#This Row],[Actual 
cost]]</f>
        <v>0</v>
      </c>
    </row>
    <row r="37" spans="2:12">
      <c r="B37" s="18" t="s">
        <v>74</v>
      </c>
      <c r="C37" s="17"/>
      <c r="D37" s="17"/>
      <c r="E37" s="58"/>
      <c r="F37" s="17">
        <f>Food99112125138[[#This Row],[Budgeted
cost]]-Food99112125138[[#This Row],[Actual
cost]]</f>
        <v>0</v>
      </c>
      <c r="G37" s="13"/>
      <c r="H37" s="18" t="s">
        <v>75</v>
      </c>
      <c r="I37" s="17"/>
      <c r="J37" s="17"/>
      <c r="K37" s="58"/>
      <c r="L37" s="17">
        <f>Taxes93106119132[[#This Row],[Budgeted 
cost]]-Taxes93106119132[[#This Row],[Actual 
cost]]</f>
        <v>0</v>
      </c>
    </row>
    <row r="38" spans="2:12">
      <c r="B38" s="18" t="s">
        <v>76</v>
      </c>
      <c r="C38" s="17"/>
      <c r="D38" s="17"/>
      <c r="E38" s="58"/>
      <c r="F38" s="17">
        <f>Food99112125138[[#This Row],[Budgeted
cost]]-Food99112125138[[#This Row],[Actual
cost]]</f>
        <v>0</v>
      </c>
      <c r="G38" s="13"/>
      <c r="H38" s="18" t="s">
        <v>49</v>
      </c>
      <c r="I38" s="17"/>
      <c r="J38" s="17"/>
      <c r="K38" s="58"/>
      <c r="L38" s="17">
        <f>Taxes93106119132[[#This Row],[Budgeted 
cost]]-Taxes93106119132[[#This Row],[Actual 
cost]]</f>
        <v>0</v>
      </c>
    </row>
    <row r="39" spans="2:12">
      <c r="B39" s="18" t="s">
        <v>49</v>
      </c>
      <c r="C39" s="17"/>
      <c r="D39" s="17"/>
      <c r="E39" s="58"/>
      <c r="F39" s="17">
        <f>Food99112125138[[#This Row],[Budgeted
cost]]-Food99112125138[[#This Row],[Actual
cost]]</f>
        <v>0</v>
      </c>
      <c r="G39" s="13"/>
      <c r="H39" s="18" t="s">
        <v>49</v>
      </c>
      <c r="I39" s="17"/>
      <c r="J39" s="17"/>
      <c r="K39" s="58"/>
      <c r="L39" s="17">
        <f>Taxes93106119132[[#This Row],[Budgeted 
cost]]-Taxes93106119132[[#This Row],[Actual 
cost]]</f>
        <v>0</v>
      </c>
    </row>
    <row r="40" spans="2:12">
      <c r="B40" s="18" t="s">
        <v>49</v>
      </c>
      <c r="C40" s="17"/>
      <c r="D40" s="17"/>
      <c r="E40" s="58"/>
      <c r="F40" s="17">
        <f>Food99112125138[[#This Row],[Budgeted
cost]]-Food99112125138[[#This Row],[Actual
cost]]</f>
        <v>0</v>
      </c>
      <c r="G40" s="13"/>
      <c r="H40" s="18" t="s">
        <v>31</v>
      </c>
      <c r="I40" s="19">
        <f>SUBTOTAL(109,Taxes93106119132[Budgeted 
cost])</f>
        <v>0</v>
      </c>
      <c r="J40" s="19">
        <f>SUBTOTAL(109,Taxes93106119132[Actual 
cost])</f>
        <v>0</v>
      </c>
      <c r="K40" s="61"/>
      <c r="L40" s="19">
        <f>SUBTOTAL(109,Taxes93106119132[Difference])</f>
        <v>0</v>
      </c>
    </row>
    <row r="41" spans="2:12" ht="15">
      <c r="B41" s="18" t="s">
        <v>31</v>
      </c>
      <c r="C41" s="19">
        <f>SUBTOTAL(109,Food99112125138[Budgeted
cost])</f>
        <v>0</v>
      </c>
      <c r="D41" s="19">
        <f>SUBTOTAL(109,Food99112125138[Actual
cost])</f>
        <v>0</v>
      </c>
      <c r="E41" s="61"/>
      <c r="F41" s="19">
        <f>SUBTOTAL(109,Food99112125138[Difference])</f>
        <v>0</v>
      </c>
      <c r="G41" s="13"/>
      <c r="H41" s="3"/>
      <c r="I41" s="4"/>
      <c r="J41" s="4"/>
      <c r="K41" s="65"/>
    </row>
    <row r="42" spans="2:12" ht="24.6">
      <c r="B42" s="5"/>
      <c r="C42" s="6"/>
      <c r="D42" s="6"/>
      <c r="E42" s="62"/>
      <c r="F42" s="13"/>
      <c r="G42" s="13"/>
      <c r="I42" s="20"/>
      <c r="J42" s="20"/>
      <c r="K42" s="59"/>
    </row>
    <row r="43" spans="2:12" ht="27.6">
      <c r="B43" s="22" t="s">
        <v>22</v>
      </c>
      <c r="C43" s="21" t="s">
        <v>9</v>
      </c>
      <c r="D43" s="21" t="s">
        <v>10</v>
      </c>
      <c r="E43" s="63" t="s">
        <v>37</v>
      </c>
      <c r="F43" s="21" t="s">
        <v>11</v>
      </c>
      <c r="G43" s="13"/>
      <c r="H43" s="22" t="s">
        <v>16</v>
      </c>
      <c r="I43" s="21" t="s">
        <v>9</v>
      </c>
      <c r="J43" s="23" t="s">
        <v>10</v>
      </c>
      <c r="K43" s="63" t="s">
        <v>37</v>
      </c>
      <c r="L43" s="21" t="s">
        <v>11</v>
      </c>
    </row>
    <row r="44" spans="2:12">
      <c r="B44" s="18" t="s">
        <v>54</v>
      </c>
      <c r="C44" s="17"/>
      <c r="D44" s="17"/>
      <c r="E44" s="58"/>
      <c r="F44" s="17">
        <f>Children98111124137[[#This Row],[Budgeted
cost]]-Children98111124137[[#This Row],[Actual
cost]]</f>
        <v>0</v>
      </c>
      <c r="H44" s="18" t="s">
        <v>77</v>
      </c>
      <c r="I44" s="17"/>
      <c r="J44" s="17"/>
      <c r="K44" s="58"/>
      <c r="L44" s="17">
        <f>Loans94107120133[[#This Row],[Budgeted
cost]]-Loans94107120133[[#This Row],[Actual
cost]]</f>
        <v>0</v>
      </c>
    </row>
    <row r="45" spans="2:12">
      <c r="B45" s="18" t="s">
        <v>58</v>
      </c>
      <c r="C45" s="17"/>
      <c r="D45" s="17"/>
      <c r="E45" s="58"/>
      <c r="F45" s="17">
        <f>Children98111124137[[#This Row],[Budgeted
cost]]-Children98111124137[[#This Row],[Actual
cost]]</f>
        <v>0</v>
      </c>
      <c r="G45" s="13"/>
      <c r="H45" s="18" t="s">
        <v>78</v>
      </c>
      <c r="I45" s="17"/>
      <c r="J45" s="17"/>
      <c r="K45" s="58"/>
      <c r="L45" s="17">
        <f>Loans94107120133[[#This Row],[Budgeted
cost]]-Loans94107120133[[#This Row],[Actual
cost]]</f>
        <v>0</v>
      </c>
    </row>
    <row r="46" spans="2:12">
      <c r="B46" s="18" t="s">
        <v>79</v>
      </c>
      <c r="C46" s="17"/>
      <c r="D46" s="17"/>
      <c r="E46" s="58"/>
      <c r="F46" s="17">
        <f>Children98111124137[[#This Row],[Budgeted
cost]]-Children98111124137[[#This Row],[Actual
cost]]</f>
        <v>0</v>
      </c>
      <c r="G46" s="13"/>
      <c r="H46" s="18" t="s">
        <v>80</v>
      </c>
      <c r="I46" s="17"/>
      <c r="J46" s="17"/>
      <c r="K46" s="58"/>
      <c r="L46" s="17">
        <f>Loans94107120133[[#This Row],[Budgeted
cost]]-Loans94107120133[[#This Row],[Actual
cost]]</f>
        <v>0</v>
      </c>
    </row>
    <row r="47" spans="2:12">
      <c r="B47" s="18" t="s">
        <v>81</v>
      </c>
      <c r="C47" s="17"/>
      <c r="D47" s="17"/>
      <c r="E47" s="58"/>
      <c r="F47" s="17">
        <f>Children98111124137[[#This Row],[Budgeted
cost]]-Children98111124137[[#This Row],[Actual
cost]]</f>
        <v>0</v>
      </c>
      <c r="G47" s="13"/>
      <c r="H47" s="18" t="s">
        <v>80</v>
      </c>
      <c r="I47" s="17"/>
      <c r="J47" s="17"/>
      <c r="K47" s="58"/>
      <c r="L47" s="17">
        <f>Loans94107120133[[#This Row],[Budgeted
cost]]-Loans94107120133[[#This Row],[Actual
cost]]</f>
        <v>0</v>
      </c>
    </row>
    <row r="48" spans="2:12">
      <c r="B48" s="18" t="s">
        <v>63</v>
      </c>
      <c r="C48" s="17"/>
      <c r="D48" s="17"/>
      <c r="E48" s="58"/>
      <c r="F48" s="17">
        <f>Children98111124137[[#This Row],[Budgeted
cost]]-Children98111124137[[#This Row],[Actual
cost]]</f>
        <v>0</v>
      </c>
      <c r="G48" s="13"/>
      <c r="H48" s="18" t="s">
        <v>80</v>
      </c>
      <c r="I48" s="17"/>
      <c r="J48" s="17"/>
      <c r="K48" s="58"/>
      <c r="L48" s="17">
        <f>Loans94107120133[[#This Row],[Budgeted
cost]]-Loans94107120133[[#This Row],[Actual
cost]]</f>
        <v>0</v>
      </c>
    </row>
    <row r="49" spans="2:12">
      <c r="B49" s="18" t="s">
        <v>82</v>
      </c>
      <c r="C49" s="17"/>
      <c r="D49" s="17"/>
      <c r="E49" s="58"/>
      <c r="F49" s="17">
        <f>Children98111124137[[#This Row],[Budgeted
cost]]-Children98111124137[[#This Row],[Actual
cost]]</f>
        <v>0</v>
      </c>
      <c r="G49" s="13"/>
      <c r="H49" s="18" t="s">
        <v>49</v>
      </c>
      <c r="I49" s="17"/>
      <c r="J49" s="17"/>
      <c r="K49" s="58"/>
      <c r="L49" s="17">
        <f>Loans94107120133[[#This Row],[Budgeted
cost]]-Loans94107120133[[#This Row],[Actual
cost]]</f>
        <v>0</v>
      </c>
    </row>
    <row r="50" spans="2:12">
      <c r="B50" s="18" t="s">
        <v>83</v>
      </c>
      <c r="C50" s="17"/>
      <c r="D50" s="17"/>
      <c r="E50" s="58"/>
      <c r="F50" s="17">
        <f>Children98111124137[[#This Row],[Budgeted
cost]]-Children98111124137[[#This Row],[Actual
cost]]</f>
        <v>0</v>
      </c>
      <c r="G50" s="13"/>
      <c r="H50" s="18" t="s">
        <v>49</v>
      </c>
      <c r="I50" s="17"/>
      <c r="J50" s="17"/>
      <c r="K50" s="58"/>
      <c r="L50" s="17">
        <f>Loans94107120133[[#This Row],[Budgeted
cost]]-Loans94107120133[[#This Row],[Actual
cost]]</f>
        <v>0</v>
      </c>
    </row>
    <row r="51" spans="2:12">
      <c r="B51" s="18" t="s">
        <v>84</v>
      </c>
      <c r="C51" s="17"/>
      <c r="D51" s="17"/>
      <c r="E51" s="58"/>
      <c r="F51" s="17">
        <f>Children98111124137[[#This Row],[Budgeted
cost]]-Children98111124137[[#This Row],[Actual
cost]]</f>
        <v>0</v>
      </c>
      <c r="G51" s="13"/>
      <c r="H51" s="18" t="s">
        <v>31</v>
      </c>
      <c r="I51" s="19">
        <f>SUBTOTAL(109,Loans94107120133[Budgeted
cost])</f>
        <v>0</v>
      </c>
      <c r="J51" s="19">
        <f>SUBTOTAL(109,Loans94107120133[Actual
cost])</f>
        <v>0</v>
      </c>
      <c r="K51" s="61"/>
      <c r="L51" s="19">
        <f>SUBTOTAL(109,Loans94107120133[Difference])</f>
        <v>0</v>
      </c>
    </row>
    <row r="52" spans="2:12">
      <c r="B52" s="18" t="s">
        <v>49</v>
      </c>
      <c r="C52" s="17"/>
      <c r="D52" s="17"/>
      <c r="E52" s="58"/>
      <c r="F52" s="17">
        <f>Children98111124137[[#This Row],[Budgeted
cost]]-Children98111124137[[#This Row],[Actual
cost]]</f>
        <v>0</v>
      </c>
      <c r="G52" s="13"/>
    </row>
    <row r="53" spans="2:12" ht="17.45">
      <c r="B53" s="18" t="s">
        <v>49</v>
      </c>
      <c r="C53" s="17"/>
      <c r="D53" s="17"/>
      <c r="E53" s="58"/>
      <c r="F53" s="17">
        <f>Children98111124137[[#This Row],[Budgeted
cost]]-Children98111124137[[#This Row],[Actual
cost]]</f>
        <v>0</v>
      </c>
      <c r="G53" s="13"/>
      <c r="H53" s="7"/>
      <c r="I53" s="6"/>
      <c r="J53" s="6"/>
      <c r="K53" s="62"/>
    </row>
    <row r="54" spans="2:12">
      <c r="B54" s="18" t="s">
        <v>31</v>
      </c>
      <c r="C54" s="19">
        <f>SUBTOTAL(109,Children98111124137[Budgeted
cost])</f>
        <v>0</v>
      </c>
      <c r="D54" s="19">
        <f>SUBTOTAL(109,Children98111124137[Actual
cost])</f>
        <v>0</v>
      </c>
      <c r="E54" s="61"/>
      <c r="F54" s="19">
        <f>SUBTOTAL(109,Children98111124137[Difference])</f>
        <v>0</v>
      </c>
      <c r="G54" s="13"/>
    </row>
    <row r="55" spans="2:12" ht="15">
      <c r="B55" s="5"/>
      <c r="C55" s="6"/>
      <c r="D55" s="6"/>
      <c r="E55" s="62"/>
      <c r="F55" s="13"/>
      <c r="G55" s="13"/>
    </row>
    <row r="56" spans="2:12" ht="27.6">
      <c r="B56" s="22" t="s">
        <v>25</v>
      </c>
      <c r="C56" s="21" t="s">
        <v>9</v>
      </c>
      <c r="D56" s="21" t="s">
        <v>10</v>
      </c>
      <c r="E56" s="63" t="s">
        <v>37</v>
      </c>
      <c r="F56" s="21" t="s">
        <v>11</v>
      </c>
      <c r="G56" s="14"/>
      <c r="H56" s="22" t="s">
        <v>30</v>
      </c>
      <c r="I56" s="21" t="s">
        <v>9</v>
      </c>
      <c r="J56" s="23" t="s">
        <v>10</v>
      </c>
      <c r="K56" s="63" t="s">
        <v>37</v>
      </c>
      <c r="L56" s="21" t="s">
        <v>11</v>
      </c>
    </row>
    <row r="57" spans="2:12">
      <c r="B57" s="18" t="s">
        <v>85</v>
      </c>
      <c r="C57" s="17"/>
      <c r="D57" s="17"/>
      <c r="E57" s="58"/>
      <c r="F57" s="17">
        <f>Legal90103116129[[#This Row],[Budgeted
cost]]-Legal90103116129[[#This Row],[Actual
cost]]</f>
        <v>0</v>
      </c>
      <c r="H57" s="18" t="s">
        <v>86</v>
      </c>
      <c r="I57" s="17"/>
      <c r="J57" s="17"/>
      <c r="K57" s="58"/>
      <c r="L57" s="17">
        <f>Gifts91104117130[[#This Row],[Budgeted
cost]]-Gifts91104117130[[#This Row],[Actual
cost]]</f>
        <v>0</v>
      </c>
    </row>
    <row r="58" spans="2:12">
      <c r="B58" s="18" t="s">
        <v>87</v>
      </c>
      <c r="C58" s="17"/>
      <c r="D58" s="17"/>
      <c r="E58" s="58"/>
      <c r="F58" s="17">
        <f>Legal90103116129[[#This Row],[Budgeted
cost]]-Legal90103116129[[#This Row],[Actual
cost]]</f>
        <v>0</v>
      </c>
      <c r="G58" s="13"/>
      <c r="H58" s="18" t="s">
        <v>88</v>
      </c>
      <c r="I58" s="17"/>
      <c r="J58" s="17"/>
      <c r="K58" s="58"/>
      <c r="L58" s="17">
        <f>Gifts91104117130[[#This Row],[Budgeted
cost]]-Gifts91104117130[[#This Row],[Actual
cost]]</f>
        <v>0</v>
      </c>
    </row>
    <row r="59" spans="2:12">
      <c r="B59" s="18" t="s">
        <v>89</v>
      </c>
      <c r="C59" s="17"/>
      <c r="D59" s="17"/>
      <c r="E59" s="58"/>
      <c r="F59" s="17">
        <f>Legal90103116129[[#This Row],[Budgeted
cost]]-Legal90103116129[[#This Row],[Actual
cost]]</f>
        <v>0</v>
      </c>
      <c r="G59" s="13"/>
      <c r="H59" s="18" t="s">
        <v>90</v>
      </c>
      <c r="I59" s="17"/>
      <c r="J59" s="17"/>
      <c r="K59" s="58"/>
      <c r="L59" s="17">
        <f>Gifts91104117130[[#This Row],[Budgeted
cost]]-Gifts91104117130[[#This Row],[Actual
cost]]</f>
        <v>0</v>
      </c>
    </row>
    <row r="60" spans="2:12">
      <c r="B60" s="18" t="s">
        <v>49</v>
      </c>
      <c r="C60" s="17"/>
      <c r="D60" s="17"/>
      <c r="E60" s="58"/>
      <c r="F60" s="17">
        <f>Legal90103116129[[#This Row],[Budgeted
cost]]-Legal90103116129[[#This Row],[Actual
cost]]</f>
        <v>0</v>
      </c>
      <c r="G60" s="13"/>
      <c r="H60" s="18" t="s">
        <v>31</v>
      </c>
      <c r="I60" s="19">
        <f>SUBTOTAL(109,Gifts91104117130[Budgeted
cost])</f>
        <v>0</v>
      </c>
      <c r="J60" s="19">
        <f>SUBTOTAL(109,Gifts91104117130[Actual
cost])</f>
        <v>0</v>
      </c>
      <c r="K60" s="64"/>
      <c r="L60" s="19">
        <f>SUBTOTAL(109,Gifts91104117130[Difference])</f>
        <v>0</v>
      </c>
    </row>
    <row r="61" spans="2:12">
      <c r="B61" s="18" t="s">
        <v>49</v>
      </c>
      <c r="C61" s="17"/>
      <c r="D61" s="17"/>
      <c r="E61" s="58"/>
      <c r="F61" s="17">
        <f>Legal90103116129[[#This Row],[Budgeted
cost]]-Legal90103116129[[#This Row],[Actual
cost]]</f>
        <v>0</v>
      </c>
      <c r="G61" s="13"/>
    </row>
    <row r="62" spans="2:12">
      <c r="B62" s="18" t="s">
        <v>31</v>
      </c>
      <c r="C62" s="19">
        <f>SUBTOTAL(109,Legal90103116129[Budgeted
cost])</f>
        <v>0</v>
      </c>
      <c r="D62" s="19">
        <f>SUBTOTAL(109,Legal90103116129[Actual
cost])</f>
        <v>0</v>
      </c>
      <c r="E62" s="61"/>
      <c r="F62" s="19">
        <f>SUBTOTAL(109,Legal90103116129[Difference])</f>
        <v>0</v>
      </c>
      <c r="G62" s="13"/>
    </row>
    <row r="63" spans="2:12" ht="24.6">
      <c r="E63" s="12"/>
      <c r="G63" s="15"/>
      <c r="I63" s="20"/>
      <c r="J63" s="20"/>
      <c r="K63" s="59"/>
    </row>
    <row r="64" spans="2:12" ht="27.6">
      <c r="B64" s="22" t="s">
        <v>19</v>
      </c>
      <c r="C64" s="21" t="s">
        <v>9</v>
      </c>
      <c r="D64" s="23" t="s">
        <v>10</v>
      </c>
      <c r="E64" s="63" t="s">
        <v>37</v>
      </c>
      <c r="F64" s="21" t="s">
        <v>11</v>
      </c>
      <c r="G64" s="14"/>
    </row>
    <row r="65" spans="2:10">
      <c r="B65" s="18" t="s">
        <v>91</v>
      </c>
      <c r="C65" s="17"/>
      <c r="D65" s="17"/>
      <c r="E65" s="58"/>
      <c r="F65" s="17">
        <f>Entertainment95108121134[[#This Row],[Budgeted
cost]]-Entertainment95108121134[[#This Row],[Actual
cost]]</f>
        <v>0</v>
      </c>
    </row>
    <row r="66" spans="2:10">
      <c r="B66" s="18" t="s">
        <v>92</v>
      </c>
      <c r="C66" s="17"/>
      <c r="D66" s="17"/>
      <c r="E66" s="58"/>
      <c r="F66" s="17">
        <f>Entertainment95108121134[[#This Row],[Budgeted
cost]]-Entertainment95108121134[[#This Row],[Actual
cost]]</f>
        <v>0</v>
      </c>
      <c r="G66" s="13"/>
    </row>
    <row r="67" spans="2:10">
      <c r="B67" s="18" t="s">
        <v>93</v>
      </c>
      <c r="C67" s="17"/>
      <c r="D67" s="17"/>
      <c r="E67" s="58"/>
      <c r="F67" s="17">
        <f>Entertainment95108121134[[#This Row],[Budgeted
cost]]-Entertainment95108121134[[#This Row],[Actual
cost]]</f>
        <v>0</v>
      </c>
      <c r="G67" s="13"/>
    </row>
    <row r="68" spans="2:10">
      <c r="B68" s="18" t="s">
        <v>94</v>
      </c>
      <c r="C68" s="17"/>
      <c r="D68" s="17"/>
      <c r="E68" s="58"/>
      <c r="F68" s="17">
        <f>Entertainment95108121134[[#This Row],[Budgeted
cost]]-Entertainment95108121134[[#This Row],[Actual
cost]]</f>
        <v>0</v>
      </c>
    </row>
    <row r="69" spans="2:10">
      <c r="B69" s="18" t="s">
        <v>95</v>
      </c>
      <c r="C69" s="17"/>
      <c r="D69" s="17"/>
      <c r="E69" s="58"/>
      <c r="F69" s="17">
        <f>Entertainment95108121134[[#This Row],[Budgeted
cost]]-Entertainment95108121134[[#This Row],[Actual
cost]]</f>
        <v>0</v>
      </c>
    </row>
    <row r="70" spans="2:10">
      <c r="B70" s="18" t="s">
        <v>96</v>
      </c>
      <c r="C70" s="17"/>
      <c r="D70" s="17"/>
      <c r="E70" s="58"/>
      <c r="F70" s="17">
        <f>Entertainment95108121134[[#This Row],[Budgeted
cost]]-Entertainment95108121134[[#This Row],[Actual
cost]]</f>
        <v>0</v>
      </c>
    </row>
    <row r="71" spans="2:10">
      <c r="B71" s="18" t="s">
        <v>49</v>
      </c>
      <c r="C71" s="17"/>
      <c r="D71" s="17"/>
      <c r="E71" s="58"/>
      <c r="F71" s="17">
        <f>Entertainment95108121134[[#This Row],[Budgeted
cost]]-Entertainment95108121134[[#This Row],[Actual
cost]]</f>
        <v>0</v>
      </c>
    </row>
    <row r="72" spans="2:10">
      <c r="B72" s="18" t="s">
        <v>31</v>
      </c>
      <c r="C72" s="19">
        <f>SUBTOTAL(109,Entertainment95108121134[Budgeted
cost])</f>
        <v>0</v>
      </c>
      <c r="D72" s="19">
        <f>SUBTOTAL(109,Entertainment95108121134[Actual
cost])</f>
        <v>0</v>
      </c>
      <c r="E72" s="64"/>
      <c r="F72" s="19">
        <f>SUBTOTAL(109,Entertainment95108121134[Difference])</f>
        <v>0</v>
      </c>
      <c r="J72" s="16"/>
    </row>
    <row r="73" spans="2:10">
      <c r="E73" s="12"/>
    </row>
    <row r="74" spans="2:10">
      <c r="E74" s="12"/>
    </row>
  </sheetData>
  <conditionalFormatting sqref="B1:B14 F1:F14 G1:G25 H3:L10 H16:L24 B16:F26 G27:G33 H28:L33 B28:F34 H36:L40 B36:F42 G37:G43 H41:K41 H44:L51 B44:F55 G45:G56 H53:K53 H57:L60 B57:F62 G58:G64 B65:F72 G66:G67">
    <cfRule type="cellIs" dxfId="869" priority="3" operator="lessThan">
      <formula>0</formula>
    </cfRule>
  </conditionalFormatting>
  <conditionalFormatting sqref="B3:F13">
    <cfRule type="cellIs" dxfId="868" priority="2" operator="lessThan">
      <formula>0</formula>
    </cfRule>
  </conditionalFormatting>
  <conditionalFormatting sqref="F3:F12">
    <cfRule type="iconSet" priority="1">
      <iconSet iconSet="3Arrows">
        <cfvo type="percentile" val="0"/>
        <cfvo type="num" val="-50"/>
        <cfvo type="num" val="50"/>
      </iconSet>
    </cfRule>
  </conditionalFormatting>
  <conditionalFormatting sqref="L28:L32 L57:L59 F65:F71 L36:L39 F16:F24 L44:L50 F28:F32 F36:F40 F44:F53 L16:L23 F57:F61 L3:L9">
    <cfRule type="iconSet" priority="4">
      <iconSet iconSet="3Arrows">
        <cfvo type="percentile" val="0"/>
        <cfvo type="num" val="-50"/>
        <cfvo type="num" val="50"/>
      </iconSet>
    </cfRule>
  </conditionalFormatting>
  <dataValidations count="1">
    <dataValidation allowBlank="1" showInputMessage="1" showErrorMessage="1" prompt="Enter details in Transportation table below and in Insurance table starting in cell B30" sqref="G1:G14 B1:B12 B14" xr:uid="{AA33ABD0-6691-4517-96E2-4F24D9620E2F}"/>
  </dataValidations>
  <pageMargins left="0.7" right="0.7" top="0.75" bottom="0.75" header="0.3" footer="0.3"/>
  <pageSetup orientation="landscape" horizontalDpi="1200" verticalDpi="1200" r:id="rId1"/>
  <headerFooter>
    <oddFooter>&amp;C&amp;P&amp;R&amp;G</oddFooter>
  </headerFooter>
  <legacyDrawingHF r:id="rId2"/>
  <tableParts count="13">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02834-1E18-48D9-8A98-F8852D407D15}">
  <sheetPr>
    <tabColor theme="4"/>
  </sheetPr>
  <dimension ref="B1:J61"/>
  <sheetViews>
    <sheetView zoomScale="70" zoomScaleNormal="70" zoomScalePageLayoutView="70" workbookViewId="0">
      <selection activeCell="C3" sqref="C3:D3"/>
    </sheetView>
  </sheetViews>
  <sheetFormatPr defaultColWidth="9" defaultRowHeight="30" customHeight="1"/>
  <cols>
    <col min="1" max="1" width="1.25" customWidth="1"/>
    <col min="2" max="6" width="24.625" customWidth="1"/>
    <col min="7" max="7" width="7.75" customWidth="1"/>
    <col min="8" max="8" width="32.875" customWidth="1"/>
    <col min="9" max="9" width="32.875" style="2" customWidth="1"/>
    <col min="10" max="10" width="2.375" customWidth="1"/>
  </cols>
  <sheetData>
    <row r="1" spans="2:10" ht="77.25" customHeight="1">
      <c r="B1" s="113" t="s">
        <v>101</v>
      </c>
      <c r="C1" s="113"/>
      <c r="D1" s="113"/>
      <c r="E1" s="113"/>
      <c r="F1" s="113"/>
      <c r="G1" s="113"/>
      <c r="H1" s="113"/>
      <c r="I1" s="26"/>
      <c r="J1" s="27"/>
    </row>
    <row r="2" spans="2:10" ht="35.450000000000003">
      <c r="B2" s="54" t="s">
        <v>1</v>
      </c>
      <c r="C2" s="24" t="s">
        <v>2</v>
      </c>
      <c r="D2" s="55" t="s">
        <v>3</v>
      </c>
      <c r="E2" s="25" t="s">
        <v>4</v>
      </c>
      <c r="F2" s="1"/>
      <c r="H2" s="36"/>
      <c r="I2" s="26"/>
      <c r="J2" s="29"/>
    </row>
    <row r="3" spans="2:10" ht="35.450000000000003">
      <c r="B3" s="11"/>
      <c r="C3" s="76">
        <f>C19</f>
        <v>0</v>
      </c>
      <c r="D3" s="76">
        <f>D19</f>
        <v>0</v>
      </c>
      <c r="E3" s="78">
        <f>SUM(C3-D3)</f>
        <v>0</v>
      </c>
      <c r="F3" s="1"/>
      <c r="H3" s="36"/>
      <c r="I3" s="26"/>
      <c r="J3" s="29"/>
    </row>
    <row r="4" spans="2:10" ht="35.450000000000003">
      <c r="C4" s="33"/>
      <c r="D4" s="33"/>
      <c r="E4" s="33"/>
      <c r="F4" s="10"/>
      <c r="H4" s="36"/>
      <c r="I4" s="26"/>
      <c r="J4" s="29"/>
    </row>
    <row r="5" spans="2:10" ht="27.6">
      <c r="B5" s="79" t="s">
        <v>8</v>
      </c>
      <c r="C5" s="80" t="s">
        <v>9</v>
      </c>
      <c r="D5" s="80" t="s">
        <v>10</v>
      </c>
      <c r="E5" s="81" t="s">
        <v>11</v>
      </c>
      <c r="G5" s="10"/>
      <c r="H5" s="114" t="s">
        <v>33</v>
      </c>
      <c r="I5" s="115"/>
      <c r="J5" s="30"/>
    </row>
    <row r="6" spans="2:10" ht="15">
      <c r="B6" s="82" t="s">
        <v>13</v>
      </c>
      <c r="C6" s="83">
        <f>Housing[[#Totals],[Budgeted
cost]]</f>
        <v>0</v>
      </c>
      <c r="D6" s="83">
        <f>Housing[[#Totals],[Actual
cost]]</f>
        <v>0</v>
      </c>
      <c r="E6" s="84">
        <f>'June - Overview'!$C6-'June - Overview'!$D6</f>
        <v>0</v>
      </c>
      <c r="G6" s="10"/>
      <c r="H6" s="37" t="s">
        <v>6</v>
      </c>
      <c r="I6" s="38"/>
      <c r="J6" s="28"/>
    </row>
    <row r="7" spans="2:10" ht="15">
      <c r="B7" s="85" t="s">
        <v>15</v>
      </c>
      <c r="C7" s="73">
        <f>Transportation[[#Totals],[Budgeted
cost]]</f>
        <v>0</v>
      </c>
      <c r="D7" s="73">
        <f>Transportation[[#Totals],[Actual
cost]]</f>
        <v>0</v>
      </c>
      <c r="E7" s="86">
        <f>'June - Overview'!$C7-'June - Overview'!$D7</f>
        <v>0</v>
      </c>
      <c r="G7" s="10"/>
      <c r="H7" s="69" t="s">
        <v>7</v>
      </c>
      <c r="I7" s="71"/>
      <c r="J7" s="28"/>
    </row>
    <row r="8" spans="2:10" ht="15">
      <c r="B8" s="87" t="s">
        <v>16</v>
      </c>
      <c r="C8" s="72">
        <f>Loans[[#Totals],[Budgeted
cost]]</f>
        <v>0</v>
      </c>
      <c r="D8" s="72">
        <f>Loans[[#Totals],[Actual
cost]]</f>
        <v>0</v>
      </c>
      <c r="E8" s="88">
        <f>'June - Overview'!$C8-'June - Overview'!$D8</f>
        <v>0</v>
      </c>
      <c r="G8" s="10"/>
      <c r="H8" s="41" t="s">
        <v>12</v>
      </c>
      <c r="I8" s="38"/>
      <c r="J8" s="28"/>
    </row>
    <row r="9" spans="2:10" ht="17.45">
      <c r="B9" s="85" t="s">
        <v>18</v>
      </c>
      <c r="C9" s="73">
        <f>Insurance[[#Totals],[Budgeted
cost]]</f>
        <v>0</v>
      </c>
      <c r="D9" s="73">
        <f>Insurance[[#Totals],[Actual
cost]]</f>
        <v>0</v>
      </c>
      <c r="E9" s="86">
        <f>'June - Overview'!$C9-'June - Overview'!$D9</f>
        <v>0</v>
      </c>
      <c r="G9" s="10"/>
      <c r="H9" s="42" t="s">
        <v>14</v>
      </c>
      <c r="I9" s="43">
        <f>SUM(I6:I8)</f>
        <v>0</v>
      </c>
      <c r="J9" s="28"/>
    </row>
    <row r="10" spans="2:10" ht="15">
      <c r="B10" s="87" t="s">
        <v>19</v>
      </c>
      <c r="C10" s="72">
        <f>Entertainment[[#Totals],[Budgeted
cost]]</f>
        <v>0</v>
      </c>
      <c r="D10" s="72">
        <f>Entertainment[[#Totals],[Actual
cost]]</f>
        <v>0</v>
      </c>
      <c r="E10" s="88">
        <f>'June - Overview'!$C10-'June - Overview'!$D10</f>
        <v>0</v>
      </c>
      <c r="G10" s="10"/>
      <c r="H10" s="31"/>
      <c r="I10" s="31"/>
      <c r="J10" s="28"/>
    </row>
    <row r="11" spans="2:10" ht="24.6">
      <c r="B11" s="85" t="s">
        <v>20</v>
      </c>
      <c r="C11" s="94">
        <f>Food[[#Totals],[Budgeted
cost]]</f>
        <v>0</v>
      </c>
      <c r="D11" s="94">
        <f>Food[[#Totals],[Actual
cost]]</f>
        <v>0</v>
      </c>
      <c r="E11" s="95">
        <f>'June - Overview'!$C11-'June - Overview'!$D11</f>
        <v>0</v>
      </c>
      <c r="G11" s="10"/>
      <c r="H11" s="116" t="s">
        <v>34</v>
      </c>
      <c r="I11" s="117"/>
      <c r="J11" s="31"/>
    </row>
    <row r="12" spans="2:10" ht="15">
      <c r="B12" s="87" t="s">
        <v>21</v>
      </c>
      <c r="C12" s="96">
        <f>Taxes[[#Totals],[Budgeted 
cost]]</f>
        <v>0</v>
      </c>
      <c r="D12" s="96">
        <f>Taxes[[#Totals],[Actual 
cost]]</f>
        <v>0</v>
      </c>
      <c r="E12" s="97">
        <f>'June - Overview'!$C12-'June - Overview'!$D12</f>
        <v>0</v>
      </c>
      <c r="G12" s="10"/>
      <c r="H12" s="41" t="s">
        <v>6</v>
      </c>
      <c r="I12" s="44"/>
      <c r="J12" s="30"/>
    </row>
    <row r="13" spans="2:10" ht="15">
      <c r="B13" s="85" t="s">
        <v>22</v>
      </c>
      <c r="C13" s="98">
        <f>Children[[#Totals],[Budgeted
cost]]</f>
        <v>0</v>
      </c>
      <c r="D13" s="98">
        <f>Children[[#Totals],[Actual
cost]]</f>
        <v>0</v>
      </c>
      <c r="E13" s="99">
        <f>'June - Overview'!$C13-'June - Overview'!$D13</f>
        <v>0</v>
      </c>
      <c r="G13" s="10"/>
      <c r="H13" s="69" t="s">
        <v>7</v>
      </c>
      <c r="I13" s="70"/>
      <c r="J13" s="28"/>
    </row>
    <row r="14" spans="2:10" ht="15">
      <c r="B14" s="87" t="s">
        <v>23</v>
      </c>
      <c r="C14" s="100">
        <f>PersonalCare[[#Totals],[Budgeted
cost]]</f>
        <v>0</v>
      </c>
      <c r="D14" s="100">
        <f>PersonalCare[[#Totals],[Actual
cost]]</f>
        <v>0</v>
      </c>
      <c r="E14" s="101">
        <f>'June - Overview'!$C14-'June - Overview'!$D14</f>
        <v>0</v>
      </c>
      <c r="G14" s="10"/>
      <c r="H14" s="41" t="s">
        <v>12</v>
      </c>
      <c r="I14" s="44"/>
      <c r="J14" s="28"/>
    </row>
    <row r="15" spans="2:10" ht="17.45">
      <c r="B15" s="85" t="s">
        <v>25</v>
      </c>
      <c r="C15" s="94">
        <f>Legal[[#Totals],[Budgeted
cost]]</f>
        <v>0</v>
      </c>
      <c r="D15" s="94">
        <f>Legal[[#Totals],[Actual
cost]]</f>
        <v>0</v>
      </c>
      <c r="E15" s="95">
        <f>'June - Overview'!$C15-'June - Overview'!$D15</f>
        <v>0</v>
      </c>
      <c r="G15" s="10"/>
      <c r="H15" s="46" t="s">
        <v>14</v>
      </c>
      <c r="I15" s="47">
        <f>SUM(I12:I14)</f>
        <v>0</v>
      </c>
      <c r="J15" s="28"/>
    </row>
    <row r="16" spans="2:10" ht="15">
      <c r="B16" s="87" t="s">
        <v>27</v>
      </c>
      <c r="C16" s="96">
        <f>Pets[[#Totals],[Budgeted
cost]]</f>
        <v>0</v>
      </c>
      <c r="D16" s="96">
        <f>Pets[[#Totals],[Actual
cost]]</f>
        <v>0</v>
      </c>
      <c r="E16" s="97">
        <f>'June - Overview'!$C16-'June - Overview'!$D16</f>
        <v>0</v>
      </c>
      <c r="G16" s="10"/>
      <c r="H16" s="31"/>
      <c r="I16" s="31"/>
      <c r="J16" s="28"/>
    </row>
    <row r="17" spans="2:10" ht="24.6">
      <c r="B17" s="85" t="s">
        <v>29</v>
      </c>
      <c r="C17" s="73">
        <f>Savings[[#Totals],[Budgeted
cost]]</f>
        <v>0</v>
      </c>
      <c r="D17" s="73">
        <f>Savings[[#Totals],[Actual
cost]]</f>
        <v>0</v>
      </c>
      <c r="E17" s="86">
        <f>'June - Overview'!$C17-'June - Overview'!$D17</f>
        <v>0</v>
      </c>
      <c r="F17" s="10"/>
      <c r="G17" s="8"/>
      <c r="H17" s="118" t="s">
        <v>24</v>
      </c>
      <c r="I17" s="119"/>
      <c r="J17" s="29"/>
    </row>
    <row r="18" spans="2:10" ht="15.6" thickBot="1">
      <c r="B18" s="87" t="s">
        <v>30</v>
      </c>
      <c r="C18" s="72">
        <f>Gifts[[#Totals],[Budgeted
cost]]</f>
        <v>0</v>
      </c>
      <c r="D18" s="72">
        <f>Gifts[[#Totals],[Actual
cost]]</f>
        <v>0</v>
      </c>
      <c r="E18" s="88">
        <f>'June - Overview'!$C18-'June - Overview'!$D18</f>
        <v>0</v>
      </c>
      <c r="F18" s="34"/>
      <c r="G18" s="35"/>
      <c r="H18" s="48" t="s">
        <v>35</v>
      </c>
      <c r="I18" s="49">
        <f>SUM(I9-'June - Overview'!$C$3:$C$3)</f>
        <v>0</v>
      </c>
      <c r="J18" s="29"/>
    </row>
    <row r="19" spans="2:10" s="32" customFormat="1" ht="25.15" thickTop="1">
      <c r="B19" s="91" t="s">
        <v>31</v>
      </c>
      <c r="C19" s="92">
        <f>SUBTOTAL(109,'June - Overview'!$C$6:$C$18)</f>
        <v>0</v>
      </c>
      <c r="D19" s="92">
        <f>SUBTOTAL(109,'June - Overview'!$D$6:$D$18)</f>
        <v>0</v>
      </c>
      <c r="E19" s="93">
        <f>SUBTOTAL(109,'June - Overview'!$E$6:$E$18)</f>
        <v>0</v>
      </c>
      <c r="H19" s="67" t="s">
        <v>36</v>
      </c>
      <c r="I19" s="68">
        <f>SUM(I15-D3)</f>
        <v>0</v>
      </c>
    </row>
    <row r="20" spans="2:10" ht="17.45">
      <c r="H20" s="52" t="s">
        <v>11</v>
      </c>
      <c r="I20" s="53">
        <f>SUM(I19-I18)</f>
        <v>0</v>
      </c>
    </row>
    <row r="21" spans="2:10" ht="30" customHeight="1">
      <c r="H21" s="8"/>
      <c r="I21" s="9"/>
    </row>
    <row r="22" spans="2:10" ht="30" customHeight="1">
      <c r="I22"/>
    </row>
    <row r="23" spans="2:10" ht="30" customHeight="1">
      <c r="I23"/>
    </row>
    <row r="24" spans="2:10" ht="30" customHeight="1">
      <c r="I24"/>
    </row>
    <row r="25" spans="2:10" ht="30" customHeight="1">
      <c r="I25"/>
    </row>
    <row r="26" spans="2:10" ht="30" customHeight="1">
      <c r="I26"/>
    </row>
    <row r="27" spans="2:10" ht="37.9" customHeight="1">
      <c r="I27"/>
    </row>
    <row r="28" spans="2:10" ht="30" customHeight="1">
      <c r="I28"/>
    </row>
    <row r="29" spans="2:10" ht="48" customHeight="1">
      <c r="I29"/>
    </row>
    <row r="30" spans="2:10" ht="30" customHeight="1">
      <c r="I30"/>
    </row>
    <row r="31" spans="2:10" ht="30" customHeight="1">
      <c r="I31"/>
    </row>
    <row r="32" spans="2:10" ht="30" customHeight="1">
      <c r="I32"/>
    </row>
    <row r="33" spans="9:9" ht="30" customHeight="1">
      <c r="I33"/>
    </row>
    <row r="34" spans="9:9" ht="30" customHeight="1">
      <c r="I34"/>
    </row>
    <row r="35" spans="9:9" ht="30" customHeight="1">
      <c r="I35"/>
    </row>
    <row r="36" spans="9:9" ht="30" customHeight="1">
      <c r="I36"/>
    </row>
    <row r="37" spans="9:9" ht="30" customHeight="1">
      <c r="I37"/>
    </row>
    <row r="38" spans="9:9" ht="30" customHeight="1">
      <c r="I38"/>
    </row>
    <row r="39" spans="9:9" ht="30" customHeight="1">
      <c r="I39"/>
    </row>
    <row r="40" spans="9:9" ht="37.9" customHeight="1">
      <c r="I40"/>
    </row>
    <row r="41" spans="9:9" ht="30" customHeight="1">
      <c r="I41"/>
    </row>
    <row r="42" spans="9:9" ht="48" customHeight="1">
      <c r="I42"/>
    </row>
    <row r="43" spans="9:9" ht="30" customHeight="1">
      <c r="I43"/>
    </row>
    <row r="44" spans="9:9" ht="30" customHeight="1">
      <c r="I44"/>
    </row>
    <row r="45" spans="9:9" ht="30" customHeight="1">
      <c r="I45"/>
    </row>
    <row r="46" spans="9:9" ht="30" customHeight="1">
      <c r="I46"/>
    </row>
    <row r="47" spans="9:9" ht="30" customHeight="1">
      <c r="I47"/>
    </row>
    <row r="48" spans="9:9" ht="30" customHeight="1">
      <c r="I48"/>
    </row>
    <row r="49" spans="9:9" ht="37.9" customHeight="1">
      <c r="I49"/>
    </row>
    <row r="50" spans="9:9" ht="30" customHeight="1">
      <c r="I50"/>
    </row>
    <row r="51" spans="9:9" ht="48" customHeight="1">
      <c r="I51"/>
    </row>
    <row r="52" spans="9:9" ht="30" customHeight="1">
      <c r="I52"/>
    </row>
    <row r="53" spans="9:9" ht="30" customHeight="1">
      <c r="I53"/>
    </row>
    <row r="54" spans="9:9" ht="30" customHeight="1">
      <c r="I54"/>
    </row>
    <row r="55" spans="9:9" ht="30" customHeight="1">
      <c r="I55"/>
    </row>
    <row r="56" spans="9:9" ht="30" customHeight="1">
      <c r="I56"/>
    </row>
    <row r="57" spans="9:9" ht="30" customHeight="1">
      <c r="I57"/>
    </row>
    <row r="58" spans="9:9" ht="30" customHeight="1">
      <c r="I58"/>
    </row>
    <row r="59" spans="9:9" ht="30" customHeight="1">
      <c r="I59"/>
    </row>
    <row r="60" spans="9:9" ht="30" customHeight="1">
      <c r="I60"/>
    </row>
    <row r="61" spans="9:9" ht="30" customHeight="1">
      <c r="I61"/>
    </row>
  </sheetData>
  <mergeCells count="4">
    <mergeCell ref="B1:H1"/>
    <mergeCell ref="H5:I5"/>
    <mergeCell ref="H11:I11"/>
    <mergeCell ref="H17:I17"/>
  </mergeCells>
  <conditionalFormatting sqref="B1 I1:J4 B2:F2 B3 E3:F3 F4 H5:H6 G5:G16 J5:J18 I6 H7:I10 H11 H12:I15 H16:H17 F17:G18 H18:I21">
    <cfRule type="cellIs" dxfId="769" priority="5" operator="lessThan">
      <formula>0</formula>
    </cfRule>
  </conditionalFormatting>
  <conditionalFormatting sqref="B6:E19">
    <cfRule type="cellIs" dxfId="768" priority="1" operator="lessThan">
      <formula>0</formula>
    </cfRule>
  </conditionalFormatting>
  <conditionalFormatting sqref="C3:D3">
    <cfRule type="cellIs" dxfId="767" priority="4" operator="lessThan">
      <formula>0</formula>
    </cfRule>
  </conditionalFormatting>
  <conditionalFormatting sqref="E3">
    <cfRule type="iconSet" priority="3">
      <iconSet iconSet="3Arrows">
        <cfvo type="percentile" val="0"/>
        <cfvo type="num" val="-50"/>
        <cfvo type="num" val="50"/>
      </iconSet>
    </cfRule>
  </conditionalFormatting>
  <conditionalFormatting sqref="E6:E18">
    <cfRule type="iconSet" priority="2">
      <iconSet iconSet="3Arrows">
        <cfvo type="percentile" val="0"/>
        <cfvo type="num" val="-50"/>
        <cfvo type="num" val="50"/>
      </iconSet>
    </cfRule>
  </conditionalFormatting>
  <conditionalFormatting sqref="I20:I21">
    <cfRule type="iconSet" priority="6">
      <iconSet iconSet="3Arrows">
        <cfvo type="percentile" val="0"/>
        <cfvo type="num" val="-50"/>
        <cfvo type="num" val="50"/>
      </iconSet>
    </cfRule>
  </conditionalFormatting>
  <dataValidations count="11">
    <dataValidation allowBlank="1" showInputMessage="1" showErrorMessage="1" prompt="Create a Family Budget Planner in this worksheet. Enter details in tables. Total Projected and Actual Costs, Projected and Actual Balance, and Difference are auto calculated" sqref="A1" xr:uid="{F43BDC29-0D17-42C7-93E7-B15B9758708A}"/>
    <dataValidation allowBlank="1" showInputMessage="1" showErrorMessage="1" prompt="Title of this worksheet is in this cell. Summary is in table below. Sample expense categories are in separate tables starting in B5. Enter income amounts starting in cell G2" sqref="B1" xr:uid="{E8A02366-2ABB-4C65-9F6B-3F378A39585F}"/>
    <dataValidation allowBlank="1" showInputMessage="1" showErrorMessage="1" prompt="Total Projected Cost is auto calculated in cell below" sqref="C2" xr:uid="{8B54301F-9427-4DE5-AD49-EDCE7D9D23F1}"/>
    <dataValidation allowBlank="1" showInputMessage="1" showErrorMessage="1" prompt="Total Actual Cost is auto calculated in cell below" sqref="D2" xr:uid="{86A406F1-B356-49CE-98F8-F87A0327842C}"/>
    <dataValidation allowBlank="1" showInputMessage="1" showErrorMessage="1" prompt="Total Difference is auto calculated in cell below" sqref="E2" xr:uid="{ADCAEDAE-A52F-4C37-9433-C5F7991543C0}"/>
    <dataValidation allowBlank="1" showInputMessage="1" showErrorMessage="1" prompt="Enter Projected Monthly Income Source in this column under this heading" sqref="H5" xr:uid="{6878D6CA-2D5E-45E1-8CA6-B8E286117271}"/>
    <dataValidation allowBlank="1" showInputMessage="1" showErrorMessage="1" prompt="Enter details in Actual Monthly Income table below" sqref="H10" xr:uid="{375B8418-61A4-409B-8D48-CDE8AB07A309}"/>
    <dataValidation allowBlank="1" showInputMessage="1" showErrorMessage="1" prompt="Enter Actual Monthly Income Source in this column under this heading" sqref="H11" xr:uid="{96F3ED9F-EECB-457B-ADD7-C1CB0EFCDEA4}"/>
    <dataValidation allowBlank="1" showInputMessage="1" showErrorMessage="1" prompt="Balance table below is auto updated" sqref="H16" xr:uid="{391A6C6B-69C2-4953-BDF9-888B5418C212}"/>
    <dataValidation allowBlank="1" showInputMessage="1" showErrorMessage="1" prompt="Balance is in this column under this heading" sqref="H17" xr:uid="{002F9B19-1039-4976-AD2F-3155F1D37131}"/>
    <dataValidation allowBlank="1" showInputMessage="1" showErrorMessage="1" prompt="Total Projected, Actual, and Difference is auto calculated in this table" sqref="B2" xr:uid="{19C7D712-3C35-4BD9-8534-D92E2D4374A9}"/>
  </dataValidations>
  <printOptions horizontalCentered="1"/>
  <pageMargins left="0.23622047244094491" right="0.23622047244094491" top="0.51181102362204722" bottom="0.51181102362204722" header="0.51181102362204722" footer="0.51181102362204722"/>
  <pageSetup scale="60" orientation="landscape" r:id="rId1"/>
  <headerFooter alignWithMargins="0"/>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CD734-DDE4-45DA-B09D-53A007961E13}">
  <sheetPr>
    <tabColor theme="2" tint="-9.9978637043366805E-2"/>
  </sheetPr>
  <dimension ref="B1:L74"/>
  <sheetViews>
    <sheetView topLeftCell="A9" zoomScale="70" zoomScaleNormal="70" workbookViewId="0">
      <selection activeCell="I36" sqref="I36"/>
    </sheetView>
  </sheetViews>
  <sheetFormatPr defaultColWidth="9" defaultRowHeight="13.9"/>
  <cols>
    <col min="1" max="1" width="2.375" style="12" customWidth="1"/>
    <col min="2" max="2" width="29.75" style="12" bestFit="1" customWidth="1"/>
    <col min="3" max="3" width="13.5" style="12" bestFit="1" customWidth="1"/>
    <col min="4" max="4" width="10.25" style="12" bestFit="1" customWidth="1"/>
    <col min="5" max="5" width="14.875" style="66" bestFit="1" customWidth="1"/>
    <col min="6" max="6" width="14.25" style="12" bestFit="1" customWidth="1"/>
    <col min="7" max="7" width="5.5" style="12" customWidth="1"/>
    <col min="8" max="8" width="28.125" style="12" bestFit="1" customWidth="1"/>
    <col min="9" max="9" width="13.5" style="12" bestFit="1" customWidth="1"/>
    <col min="10" max="10" width="10.25" style="12" bestFit="1" customWidth="1"/>
    <col min="11" max="11" width="12.875" style="12" bestFit="1" customWidth="1"/>
    <col min="12" max="12" width="14.25" style="12" bestFit="1" customWidth="1"/>
    <col min="13" max="16384" width="9" style="12"/>
  </cols>
  <sheetData>
    <row r="1" spans="2:12" ht="15" customHeight="1">
      <c r="B1" s="56"/>
      <c r="C1" s="56"/>
      <c r="D1" s="56"/>
      <c r="E1" s="74"/>
      <c r="F1" s="75"/>
      <c r="G1" s="56"/>
      <c r="H1" s="56"/>
      <c r="I1" s="56"/>
      <c r="J1" s="56"/>
    </row>
    <row r="2" spans="2:12" ht="15" customHeight="1">
      <c r="B2" s="22" t="s">
        <v>13</v>
      </c>
      <c r="C2" s="21" t="s">
        <v>9</v>
      </c>
      <c r="D2" s="21" t="s">
        <v>10</v>
      </c>
      <c r="E2" s="57" t="s">
        <v>37</v>
      </c>
      <c r="F2" s="21" t="s">
        <v>11</v>
      </c>
      <c r="G2" s="56"/>
      <c r="H2" s="22" t="s">
        <v>29</v>
      </c>
      <c r="I2" s="21" t="s">
        <v>9</v>
      </c>
      <c r="J2" s="21" t="s">
        <v>10</v>
      </c>
      <c r="K2" s="63" t="s">
        <v>37</v>
      </c>
      <c r="L2" s="21" t="s">
        <v>11</v>
      </c>
    </row>
    <row r="3" spans="2:12" ht="15" customHeight="1">
      <c r="B3" s="18" t="s">
        <v>38</v>
      </c>
      <c r="C3" s="17"/>
      <c r="D3" s="17"/>
      <c r="E3" s="58"/>
      <c r="F3" s="17">
        <f>Housing102115128141154[[#This Row],[Budgeted
cost]]-Housing102115128141154[[#This Row],[Actual
cost]]</f>
        <v>0</v>
      </c>
      <c r="G3" s="56"/>
      <c r="H3" s="18" t="s">
        <v>39</v>
      </c>
      <c r="I3" s="17"/>
      <c r="J3" s="17"/>
      <c r="K3" s="58"/>
      <c r="L3" s="17">
        <f>Savings92105118131144[[#This Row],[Budgeted
cost]]-Savings92105118131144[[#This Row],[Actual
cost]]</f>
        <v>0</v>
      </c>
    </row>
    <row r="4" spans="2:12" ht="15" customHeight="1">
      <c r="B4" s="18" t="s">
        <v>40</v>
      </c>
      <c r="C4" s="17"/>
      <c r="D4" s="17"/>
      <c r="E4" s="58"/>
      <c r="F4" s="17">
        <f>Housing102115128141154[[#This Row],[Budgeted
cost]]-Housing102115128141154[[#This Row],[Actual
cost]]</f>
        <v>0</v>
      </c>
      <c r="G4" s="56"/>
      <c r="H4" s="18" t="s">
        <v>41</v>
      </c>
      <c r="I4" s="17"/>
      <c r="J4" s="17"/>
      <c r="K4" s="58"/>
      <c r="L4" s="17">
        <f>Savings92105118131144[[#This Row],[Budgeted
cost]]-Savings92105118131144[[#This Row],[Actual
cost]]</f>
        <v>0</v>
      </c>
    </row>
    <row r="5" spans="2:12" ht="15" customHeight="1">
      <c r="B5" s="18" t="s">
        <v>42</v>
      </c>
      <c r="C5" s="17"/>
      <c r="D5" s="17"/>
      <c r="E5" s="58"/>
      <c r="F5" s="17">
        <f>Housing102115128141154[[#This Row],[Budgeted
cost]]-Housing102115128141154[[#This Row],[Actual
cost]]</f>
        <v>0</v>
      </c>
      <c r="G5" s="56"/>
      <c r="H5" s="18" t="s">
        <v>43</v>
      </c>
      <c r="I5" s="17"/>
      <c r="J5" s="17"/>
      <c r="K5" s="58"/>
      <c r="L5" s="17">
        <f>Savings92105118131144[[#This Row],[Budgeted
cost]]-Savings92105118131144[[#This Row],[Actual
cost]]</f>
        <v>0</v>
      </c>
    </row>
    <row r="6" spans="2:12" ht="15" customHeight="1">
      <c r="B6" s="18" t="s">
        <v>44</v>
      </c>
      <c r="C6" s="17"/>
      <c r="D6" s="17"/>
      <c r="E6" s="58"/>
      <c r="F6" s="17">
        <f>Housing102115128141154[[#This Row],[Budgeted
cost]]-Housing102115128141154[[#This Row],[Actual
cost]]</f>
        <v>0</v>
      </c>
      <c r="G6" s="56"/>
      <c r="H6" s="18" t="s">
        <v>45</v>
      </c>
      <c r="I6" s="17"/>
      <c r="J6" s="17"/>
      <c r="K6" s="58"/>
      <c r="L6" s="17">
        <f>Savings92105118131144[[#This Row],[Budgeted
cost]]-Savings92105118131144[[#This Row],[Actual
cost]]</f>
        <v>0</v>
      </c>
    </row>
    <row r="7" spans="2:12" ht="15" customHeight="1">
      <c r="B7" s="18" t="s">
        <v>46</v>
      </c>
      <c r="C7" s="17"/>
      <c r="D7" s="17"/>
      <c r="E7" s="58"/>
      <c r="F7" s="17">
        <f>Housing102115128141154[[#This Row],[Budgeted
cost]]-Housing102115128141154[[#This Row],[Actual
cost]]</f>
        <v>0</v>
      </c>
      <c r="G7" s="56"/>
      <c r="H7" s="18" t="s">
        <v>47</v>
      </c>
      <c r="I7" s="17"/>
      <c r="J7" s="17"/>
      <c r="K7" s="58"/>
      <c r="L7" s="17">
        <f>Savings92105118131144[[#This Row],[Budgeted
cost]]-Savings92105118131144[[#This Row],[Actual
cost]]</f>
        <v>0</v>
      </c>
    </row>
    <row r="8" spans="2:12" ht="15" customHeight="1">
      <c r="B8" s="18" t="s">
        <v>48</v>
      </c>
      <c r="C8" s="17"/>
      <c r="D8" s="17"/>
      <c r="E8" s="58"/>
      <c r="F8" s="17">
        <f>Housing102115128141154[[#This Row],[Budgeted
cost]]-Housing102115128141154[[#This Row],[Actual
cost]]</f>
        <v>0</v>
      </c>
      <c r="G8" s="56"/>
      <c r="H8" s="18" t="s">
        <v>49</v>
      </c>
      <c r="I8" s="17"/>
      <c r="J8" s="17"/>
      <c r="K8" s="58"/>
      <c r="L8" s="17">
        <f>Savings92105118131144[[#This Row],[Budgeted
cost]]-Savings92105118131144[[#This Row],[Actual
cost]]</f>
        <v>0</v>
      </c>
    </row>
    <row r="9" spans="2:12" ht="15" customHeight="1">
      <c r="B9" s="18" t="s">
        <v>50</v>
      </c>
      <c r="C9" s="17"/>
      <c r="D9" s="17"/>
      <c r="E9" s="58"/>
      <c r="F9" s="17">
        <f>Housing102115128141154[[#This Row],[Budgeted
cost]]-Housing102115128141154[[#This Row],[Actual
cost]]</f>
        <v>0</v>
      </c>
      <c r="G9" s="56"/>
      <c r="H9" s="18" t="s">
        <v>49</v>
      </c>
      <c r="I9" s="17"/>
      <c r="J9" s="17"/>
      <c r="K9" s="58"/>
      <c r="L9" s="17">
        <f>Savings92105118131144[[#This Row],[Budgeted
cost]]-Savings92105118131144[[#This Row],[Actual
cost]]</f>
        <v>0</v>
      </c>
    </row>
    <row r="10" spans="2:12" ht="15" customHeight="1">
      <c r="B10" s="18" t="s">
        <v>51</v>
      </c>
      <c r="C10" s="17"/>
      <c r="D10" s="17"/>
      <c r="E10" s="58"/>
      <c r="F10" s="17">
        <f>Housing102115128141154[[#This Row],[Budgeted
cost]]-Housing102115128141154[[#This Row],[Actual
cost]]</f>
        <v>0</v>
      </c>
      <c r="G10" s="56"/>
      <c r="H10" s="18" t="s">
        <v>31</v>
      </c>
      <c r="I10" s="19">
        <f>SUBTOTAL(109,Savings92105118131144[Budgeted
cost])</f>
        <v>0</v>
      </c>
      <c r="J10" s="19">
        <f>SUBTOTAL(109,Savings92105118131144[Actual
cost])</f>
        <v>0</v>
      </c>
      <c r="K10" s="61"/>
      <c r="L10" s="19">
        <f>SUBTOTAL(109,Savings92105118131144[Difference])</f>
        <v>0</v>
      </c>
    </row>
    <row r="11" spans="2:12" ht="15" customHeight="1">
      <c r="B11" s="18" t="s">
        <v>52</v>
      </c>
      <c r="C11" s="17"/>
      <c r="D11" s="17"/>
      <c r="E11" s="58"/>
      <c r="F11" s="17">
        <f>Housing102115128141154[[#This Row],[Budgeted
cost]]-Housing102115128141154[[#This Row],[Actual
cost]]</f>
        <v>0</v>
      </c>
      <c r="G11" s="56"/>
      <c r="H11" s="56"/>
      <c r="I11" s="56"/>
      <c r="J11" s="56"/>
    </row>
    <row r="12" spans="2:12" ht="15" customHeight="1">
      <c r="B12" s="18" t="s">
        <v>49</v>
      </c>
      <c r="C12" s="17"/>
      <c r="D12" s="17"/>
      <c r="E12" s="58"/>
      <c r="F12" s="17">
        <f>Housing102115128141154[[#This Row],[Budgeted
cost]]-Housing102115128141154[[#This Row],[Actual
cost]]</f>
        <v>0</v>
      </c>
      <c r="G12" s="56"/>
    </row>
    <row r="13" spans="2:12" ht="15" customHeight="1">
      <c r="B13" s="18" t="s">
        <v>31</v>
      </c>
      <c r="C13" s="19">
        <f>SUBTOTAL(109,Housing102115128141154[Budgeted
cost])</f>
        <v>0</v>
      </c>
      <c r="D13" s="19">
        <f>SUBTOTAL(109,Housing102115128141154[Actual
cost])</f>
        <v>0</v>
      </c>
      <c r="E13"/>
      <c r="F13" s="19">
        <f>SUBTOTAL(109,Housing102115128141154[Difference])</f>
        <v>0</v>
      </c>
      <c r="G13" s="56"/>
    </row>
    <row r="14" spans="2:12" ht="15" customHeight="1">
      <c r="B14" s="56"/>
      <c r="C14" s="56"/>
      <c r="D14" s="56"/>
      <c r="E14" s="74"/>
      <c r="F14" s="75"/>
      <c r="G14" s="56"/>
    </row>
    <row r="15" spans="2:12" ht="27.6">
      <c r="B15" s="22" t="s">
        <v>15</v>
      </c>
      <c r="C15" s="21" t="s">
        <v>9</v>
      </c>
      <c r="D15" s="21" t="s">
        <v>10</v>
      </c>
      <c r="E15" s="60" t="s">
        <v>37</v>
      </c>
      <c r="F15" s="21" t="s">
        <v>11</v>
      </c>
      <c r="G15" s="13"/>
      <c r="H15" s="22" t="s">
        <v>23</v>
      </c>
      <c r="I15" s="21" t="s">
        <v>9</v>
      </c>
      <c r="J15" s="23" t="s">
        <v>10</v>
      </c>
      <c r="K15" s="63" t="s">
        <v>37</v>
      </c>
      <c r="L15" s="21" t="s">
        <v>11</v>
      </c>
    </row>
    <row r="16" spans="2:12">
      <c r="B16" s="18" t="s">
        <v>53</v>
      </c>
      <c r="C16" s="17"/>
      <c r="D16" s="17"/>
      <c r="E16" s="58"/>
      <c r="F16" s="17">
        <f>Transportation101114127140153[[#This Row],[Budgeted
cost]]-Transportation101114127140153[[#This Row],[Actual
cost]]</f>
        <v>0</v>
      </c>
      <c r="G16" s="13"/>
      <c r="H16" s="18" t="s">
        <v>54</v>
      </c>
      <c r="I16" s="17"/>
      <c r="J16" s="17"/>
      <c r="K16" s="58"/>
      <c r="L16" s="17">
        <f>PersonalCare96109122135148[[#This Row],[Budgeted
cost]]-PersonalCare96109122135148[[#This Row],[Actual
cost]]</f>
        <v>0</v>
      </c>
    </row>
    <row r="17" spans="2:12">
      <c r="B17" s="18" t="s">
        <v>55</v>
      </c>
      <c r="C17" s="17"/>
      <c r="D17" s="17"/>
      <c r="E17" s="58"/>
      <c r="F17" s="17">
        <f>Transportation101114127140153[[#This Row],[Budgeted
cost]]-Transportation101114127140153[[#This Row],[Actual
cost]]</f>
        <v>0</v>
      </c>
      <c r="G17" s="13"/>
      <c r="H17" s="18" t="s">
        <v>56</v>
      </c>
      <c r="I17" s="17"/>
      <c r="J17" s="17"/>
      <c r="K17" s="58"/>
      <c r="L17" s="17">
        <f>PersonalCare96109122135148[[#This Row],[Budgeted
cost]]-PersonalCare96109122135148[[#This Row],[Actual
cost]]</f>
        <v>0</v>
      </c>
    </row>
    <row r="18" spans="2:12">
      <c r="B18" s="18" t="s">
        <v>57</v>
      </c>
      <c r="C18" s="17"/>
      <c r="D18" s="17"/>
      <c r="E18" s="58"/>
      <c r="F18" s="17">
        <f>Transportation101114127140153[[#This Row],[Budgeted
cost]]-Transportation101114127140153[[#This Row],[Actual
cost]]</f>
        <v>0</v>
      </c>
      <c r="G18" s="13"/>
      <c r="H18" s="18" t="s">
        <v>58</v>
      </c>
      <c r="I18" s="17"/>
      <c r="J18" s="17"/>
      <c r="K18" s="58"/>
      <c r="L18" s="17">
        <f>PersonalCare96109122135148[[#This Row],[Budgeted
cost]]-PersonalCare96109122135148[[#This Row],[Actual
cost]]</f>
        <v>0</v>
      </c>
    </row>
    <row r="19" spans="2:12">
      <c r="B19" s="18" t="s">
        <v>18</v>
      </c>
      <c r="C19" s="17"/>
      <c r="D19" s="17"/>
      <c r="E19" s="58"/>
      <c r="F19" s="17">
        <f>Transportation101114127140153[[#This Row],[Budgeted
cost]]-Transportation101114127140153[[#This Row],[Actual
cost]]</f>
        <v>0</v>
      </c>
      <c r="G19" s="13"/>
      <c r="H19" s="18" t="s">
        <v>59</v>
      </c>
      <c r="I19" s="17"/>
      <c r="J19" s="17"/>
      <c r="K19" s="58"/>
      <c r="L19" s="17">
        <f>PersonalCare96109122135148[[#This Row],[Budgeted
cost]]-PersonalCare96109122135148[[#This Row],[Actual
cost]]</f>
        <v>0</v>
      </c>
    </row>
    <row r="20" spans="2:12">
      <c r="B20" s="18" t="s">
        <v>60</v>
      </c>
      <c r="C20" s="17"/>
      <c r="D20" s="17"/>
      <c r="E20" s="58"/>
      <c r="F20" s="17">
        <f>Transportation101114127140153[[#This Row],[Budgeted
cost]]-Transportation101114127140153[[#This Row],[Actual
cost]]</f>
        <v>0</v>
      </c>
      <c r="G20" s="13"/>
      <c r="H20" s="18" t="s">
        <v>61</v>
      </c>
      <c r="I20" s="17"/>
      <c r="J20" s="17"/>
      <c r="K20" s="58"/>
      <c r="L20" s="17">
        <f>PersonalCare96109122135148[[#This Row],[Budgeted
cost]]-PersonalCare96109122135148[[#This Row],[Actual
cost]]</f>
        <v>0</v>
      </c>
    </row>
    <row r="21" spans="2:12">
      <c r="B21" s="18" t="s">
        <v>62</v>
      </c>
      <c r="C21" s="17"/>
      <c r="D21" s="17"/>
      <c r="E21" s="58"/>
      <c r="F21" s="17">
        <f>Transportation101114127140153[[#This Row],[Budgeted
cost]]-Transportation101114127140153[[#This Row],[Actual
cost]]</f>
        <v>0</v>
      </c>
      <c r="G21" s="13"/>
      <c r="H21" s="18" t="s">
        <v>63</v>
      </c>
      <c r="I21" s="17"/>
      <c r="J21" s="17"/>
      <c r="K21" s="58"/>
      <c r="L21" s="17">
        <f>PersonalCare96109122135148[[#This Row],[Budgeted
cost]]-PersonalCare96109122135148[[#This Row],[Actual
cost]]</f>
        <v>0</v>
      </c>
    </row>
    <row r="22" spans="2:12">
      <c r="B22" s="18" t="s">
        <v>64</v>
      </c>
      <c r="C22" s="17"/>
      <c r="D22" s="17"/>
      <c r="E22" s="58"/>
      <c r="F22" s="17">
        <f>Transportation101114127140153[[#This Row],[Budgeted
cost]]-Transportation101114127140153[[#This Row],[Actual
cost]]</f>
        <v>0</v>
      </c>
      <c r="G22" s="13"/>
      <c r="H22" s="18" t="s">
        <v>49</v>
      </c>
      <c r="I22" s="17"/>
      <c r="J22" s="17"/>
      <c r="K22" s="58"/>
      <c r="L22" s="17">
        <f>PersonalCare96109122135148[[#This Row],[Budgeted
cost]]-PersonalCare96109122135148[[#This Row],[Actual
cost]]</f>
        <v>0</v>
      </c>
    </row>
    <row r="23" spans="2:12">
      <c r="B23" s="18" t="s">
        <v>49</v>
      </c>
      <c r="C23" s="17"/>
      <c r="D23" s="17"/>
      <c r="E23" s="58"/>
      <c r="F23" s="17">
        <f>Transportation101114127140153[[#This Row],[Budgeted
cost]]-Transportation101114127140153[[#This Row],[Actual
cost]]</f>
        <v>0</v>
      </c>
      <c r="G23" s="13"/>
      <c r="H23" s="18" t="s">
        <v>49</v>
      </c>
      <c r="I23" s="17"/>
      <c r="J23" s="17"/>
      <c r="K23" s="58"/>
      <c r="L23" s="17">
        <f>PersonalCare96109122135148[[#This Row],[Budgeted
cost]]-PersonalCare96109122135148[[#This Row],[Actual
cost]]</f>
        <v>0</v>
      </c>
    </row>
    <row r="24" spans="2:12">
      <c r="B24" s="18" t="s">
        <v>49</v>
      </c>
      <c r="C24" s="17"/>
      <c r="D24" s="17"/>
      <c r="E24" s="58"/>
      <c r="F24" s="17">
        <f>Transportation101114127140153[[#This Row],[Budgeted
cost]]-Transportation101114127140153[[#This Row],[Actual
cost]]</f>
        <v>0</v>
      </c>
      <c r="G24" s="13"/>
      <c r="H24" s="18" t="s">
        <v>31</v>
      </c>
      <c r="I24" s="19">
        <f>SUBTOTAL(109,PersonalCare96109122135148[Budgeted
cost])</f>
        <v>0</v>
      </c>
      <c r="J24" s="19">
        <f>SUBTOTAL(109,PersonalCare96109122135148[Actual
cost])</f>
        <v>0</v>
      </c>
      <c r="K24" s="61"/>
      <c r="L24" s="19">
        <f>SUBTOTAL(109,PersonalCare96109122135148[Difference])</f>
        <v>0</v>
      </c>
    </row>
    <row r="25" spans="2:12">
      <c r="B25" s="18" t="s">
        <v>31</v>
      </c>
      <c r="C25" s="19">
        <f>SUBTOTAL(109,Transportation101114127140153[Budgeted
cost])</f>
        <v>0</v>
      </c>
      <c r="D25" s="19">
        <f>SUBTOTAL(109,Transportation101114127140153[Actual
cost])</f>
        <v>0</v>
      </c>
      <c r="E25" s="61"/>
      <c r="F25" s="19">
        <f>SUBTOTAL(109,Transportation101114127140153[Difference])</f>
        <v>0</v>
      </c>
      <c r="G25" s="13"/>
    </row>
    <row r="26" spans="2:12" ht="17.45">
      <c r="B26" s="7"/>
      <c r="C26" s="6"/>
      <c r="D26" s="6"/>
      <c r="E26" s="62"/>
      <c r="F26" s="13"/>
    </row>
    <row r="27" spans="2:12" ht="27.6">
      <c r="B27" s="22" t="s">
        <v>18</v>
      </c>
      <c r="C27" s="21" t="s">
        <v>9</v>
      </c>
      <c r="D27" s="21" t="s">
        <v>10</v>
      </c>
      <c r="E27" s="63" t="s">
        <v>37</v>
      </c>
      <c r="F27" s="21" t="s">
        <v>11</v>
      </c>
      <c r="G27" s="13"/>
      <c r="H27" s="22" t="s">
        <v>27</v>
      </c>
      <c r="I27" s="21" t="s">
        <v>9</v>
      </c>
      <c r="J27" s="23" t="s">
        <v>10</v>
      </c>
      <c r="K27" s="63" t="s">
        <v>37</v>
      </c>
      <c r="L27" s="21" t="s">
        <v>11</v>
      </c>
    </row>
    <row r="28" spans="2:12">
      <c r="B28" s="18" t="s">
        <v>65</v>
      </c>
      <c r="C28" s="17"/>
      <c r="D28" s="17"/>
      <c r="E28" s="58"/>
      <c r="F28" s="17">
        <f>Insurance100113126139152[[#This Row],[Budgeted
cost]]-Insurance100113126139152[[#This Row],[Actual
cost]]</f>
        <v>0</v>
      </c>
      <c r="G28" s="13"/>
      <c r="H28" s="18" t="s">
        <v>20</v>
      </c>
      <c r="I28" s="17"/>
      <c r="J28" s="17"/>
      <c r="K28" s="58"/>
      <c r="L28" s="17">
        <f>Pets97110123136149[[#This Row],[Budgeted
cost]]-Pets97110123136149[[#This Row],[Actual
cost]]</f>
        <v>0</v>
      </c>
    </row>
    <row r="29" spans="2:12">
      <c r="B29" s="18" t="s">
        <v>66</v>
      </c>
      <c r="C29" s="17"/>
      <c r="D29" s="17"/>
      <c r="E29" s="58"/>
      <c r="F29" s="17">
        <f>Insurance100113126139152[[#This Row],[Budgeted
cost]]-Insurance100113126139152[[#This Row],[Actual
cost]]</f>
        <v>0</v>
      </c>
      <c r="G29" s="13"/>
      <c r="H29" s="18" t="s">
        <v>54</v>
      </c>
      <c r="I29" s="17"/>
      <c r="J29" s="17"/>
      <c r="K29" s="58"/>
      <c r="L29" s="17">
        <f>Pets97110123136149[[#This Row],[Budgeted
cost]]-Pets97110123136149[[#This Row],[Actual
cost]]</f>
        <v>0</v>
      </c>
    </row>
    <row r="30" spans="2:12">
      <c r="B30" s="18" t="s">
        <v>67</v>
      </c>
      <c r="C30" s="17"/>
      <c r="D30" s="17"/>
      <c r="E30" s="58"/>
      <c r="F30" s="17">
        <f>Insurance100113126139152[[#This Row],[Budgeted
cost]]-Insurance100113126139152[[#This Row],[Actual
cost]]</f>
        <v>0</v>
      </c>
      <c r="G30" s="13"/>
      <c r="H30" s="18" t="s">
        <v>68</v>
      </c>
      <c r="I30" s="17"/>
      <c r="J30" s="17"/>
      <c r="K30" s="58"/>
      <c r="L30" s="17">
        <f>Pets97110123136149[[#This Row],[Budgeted
cost]]-Pets97110123136149[[#This Row],[Actual
cost]]</f>
        <v>0</v>
      </c>
    </row>
    <row r="31" spans="2:12">
      <c r="B31" s="18" t="s">
        <v>49</v>
      </c>
      <c r="C31" s="17"/>
      <c r="D31" s="17"/>
      <c r="E31" s="58"/>
      <c r="F31" s="17">
        <f>Insurance100113126139152[[#This Row],[Budgeted
cost]]-Insurance100113126139152[[#This Row],[Actual
cost]]</f>
        <v>0</v>
      </c>
      <c r="G31" s="13"/>
      <c r="H31" s="18" t="s">
        <v>69</v>
      </c>
      <c r="I31" s="17"/>
      <c r="J31" s="17"/>
      <c r="K31" s="58"/>
      <c r="L31" s="17">
        <f>Pets97110123136149[[#This Row],[Budgeted
cost]]-Pets97110123136149[[#This Row],[Actual
cost]]</f>
        <v>0</v>
      </c>
    </row>
    <row r="32" spans="2:12">
      <c r="B32" s="18" t="s">
        <v>49</v>
      </c>
      <c r="C32" s="17"/>
      <c r="D32" s="17"/>
      <c r="E32" s="58"/>
      <c r="F32" s="17">
        <f>Insurance100113126139152[[#This Row],[Budgeted
cost]]-Insurance100113126139152[[#This Row],[Actual
cost]]</f>
        <v>0</v>
      </c>
      <c r="G32" s="13"/>
      <c r="H32" s="18" t="s">
        <v>49</v>
      </c>
      <c r="I32" s="17"/>
      <c r="J32" s="17"/>
      <c r="K32" s="58"/>
      <c r="L32" s="17">
        <f>Pets97110123136149[[#This Row],[Budgeted
cost]]-Pets97110123136149[[#This Row],[Actual
cost]]</f>
        <v>0</v>
      </c>
    </row>
    <row r="33" spans="2:12">
      <c r="B33" s="18" t="s">
        <v>31</v>
      </c>
      <c r="C33" s="19">
        <f>SUBTOTAL(109,Insurance100113126139152[Budgeted
cost])</f>
        <v>0</v>
      </c>
      <c r="D33" s="19">
        <f>SUBTOTAL(109,Insurance100113126139152[Actual
cost])</f>
        <v>0</v>
      </c>
      <c r="E33" s="61"/>
      <c r="F33" s="19">
        <f>SUBTOTAL(109,Insurance100113126139152[Difference])</f>
        <v>0</v>
      </c>
      <c r="G33" s="13"/>
      <c r="H33" s="18" t="s">
        <v>31</v>
      </c>
      <c r="I33" s="19">
        <f>SUBTOTAL(109,Pets97110123136149[Budgeted
cost])</f>
        <v>0</v>
      </c>
      <c r="J33" s="19">
        <f>SUBTOTAL(109,Pets97110123136149[Actual
cost])</f>
        <v>0</v>
      </c>
      <c r="K33" s="64"/>
      <c r="L33" s="19">
        <f>SUBTOTAL(109,Pets97110123136149[Difference])</f>
        <v>0</v>
      </c>
    </row>
    <row r="34" spans="2:12" ht="17.45">
      <c r="B34" s="7"/>
      <c r="C34" s="6"/>
      <c r="D34" s="6"/>
      <c r="E34" s="62"/>
      <c r="F34" s="13"/>
    </row>
    <row r="35" spans="2:12" ht="27.6">
      <c r="B35" s="22" t="s">
        <v>20</v>
      </c>
      <c r="C35" s="57" t="s">
        <v>9</v>
      </c>
      <c r="D35" s="21" t="s">
        <v>10</v>
      </c>
      <c r="E35" s="63" t="s">
        <v>37</v>
      </c>
      <c r="F35" s="21" t="s">
        <v>11</v>
      </c>
      <c r="H35" s="22" t="s">
        <v>21</v>
      </c>
      <c r="I35" s="21" t="s">
        <v>70</v>
      </c>
      <c r="J35" s="23" t="s">
        <v>71</v>
      </c>
      <c r="K35" s="63" t="s">
        <v>37</v>
      </c>
      <c r="L35" s="21" t="s">
        <v>11</v>
      </c>
    </row>
    <row r="36" spans="2:12">
      <c r="B36" s="18" t="s">
        <v>72</v>
      </c>
      <c r="C36" s="17"/>
      <c r="D36" s="17"/>
      <c r="E36" s="58"/>
      <c r="F36" s="17">
        <f>Food99112125138151[[#This Row],[Budgeted
cost]]-Food99112125138151[[#This Row],[Actual
cost]]</f>
        <v>0</v>
      </c>
      <c r="H36" s="18" t="s">
        <v>73</v>
      </c>
      <c r="I36" s="17"/>
      <c r="J36" s="17"/>
      <c r="K36" s="58"/>
      <c r="L36" s="17">
        <f>Taxes93106119132145[[#This Row],[Budgeted 
cost]]-Taxes93106119132145[[#This Row],[Actual 
cost]]</f>
        <v>0</v>
      </c>
    </row>
    <row r="37" spans="2:12">
      <c r="B37" s="18" t="s">
        <v>74</v>
      </c>
      <c r="C37" s="17"/>
      <c r="D37" s="17"/>
      <c r="E37" s="58"/>
      <c r="F37" s="17">
        <f>Food99112125138151[[#This Row],[Budgeted
cost]]-Food99112125138151[[#This Row],[Actual
cost]]</f>
        <v>0</v>
      </c>
      <c r="G37" s="13"/>
      <c r="H37" s="18" t="s">
        <v>75</v>
      </c>
      <c r="I37" s="17"/>
      <c r="J37" s="17"/>
      <c r="K37" s="58"/>
      <c r="L37" s="17">
        <f>Taxes93106119132145[[#This Row],[Budgeted 
cost]]-Taxes93106119132145[[#This Row],[Actual 
cost]]</f>
        <v>0</v>
      </c>
    </row>
    <row r="38" spans="2:12">
      <c r="B38" s="18" t="s">
        <v>76</v>
      </c>
      <c r="C38" s="17"/>
      <c r="D38" s="17"/>
      <c r="E38" s="58"/>
      <c r="F38" s="17">
        <f>Food99112125138151[[#This Row],[Budgeted
cost]]-Food99112125138151[[#This Row],[Actual
cost]]</f>
        <v>0</v>
      </c>
      <c r="G38" s="13"/>
      <c r="H38" s="18" t="s">
        <v>49</v>
      </c>
      <c r="I38" s="17"/>
      <c r="J38" s="17"/>
      <c r="K38" s="58"/>
      <c r="L38" s="17">
        <f>Taxes93106119132145[[#This Row],[Budgeted 
cost]]-Taxes93106119132145[[#This Row],[Actual 
cost]]</f>
        <v>0</v>
      </c>
    </row>
    <row r="39" spans="2:12">
      <c r="B39" s="18" t="s">
        <v>49</v>
      </c>
      <c r="C39" s="17"/>
      <c r="D39" s="17"/>
      <c r="E39" s="58"/>
      <c r="F39" s="17">
        <f>Food99112125138151[[#This Row],[Budgeted
cost]]-Food99112125138151[[#This Row],[Actual
cost]]</f>
        <v>0</v>
      </c>
      <c r="G39" s="13"/>
      <c r="H39" s="18" t="s">
        <v>49</v>
      </c>
      <c r="I39" s="17"/>
      <c r="J39" s="17"/>
      <c r="K39" s="58"/>
      <c r="L39" s="17">
        <f>Taxes93106119132145[[#This Row],[Budgeted 
cost]]-Taxes93106119132145[[#This Row],[Actual 
cost]]</f>
        <v>0</v>
      </c>
    </row>
    <row r="40" spans="2:12">
      <c r="B40" s="18" t="s">
        <v>49</v>
      </c>
      <c r="C40" s="17"/>
      <c r="D40" s="17"/>
      <c r="E40" s="58"/>
      <c r="F40" s="17">
        <f>Food99112125138151[[#This Row],[Budgeted
cost]]-Food99112125138151[[#This Row],[Actual
cost]]</f>
        <v>0</v>
      </c>
      <c r="G40" s="13"/>
      <c r="H40" s="18" t="s">
        <v>31</v>
      </c>
      <c r="I40" s="19">
        <f>SUBTOTAL(109,Taxes93106119132145[Budgeted 
cost])</f>
        <v>0</v>
      </c>
      <c r="J40" s="19">
        <f>SUBTOTAL(109,Taxes93106119132145[Actual 
cost])</f>
        <v>0</v>
      </c>
      <c r="K40" s="61"/>
      <c r="L40" s="19">
        <f>SUBTOTAL(109,Taxes93106119132145[Difference])</f>
        <v>0</v>
      </c>
    </row>
    <row r="41" spans="2:12" ht="15">
      <c r="B41" s="18" t="s">
        <v>31</v>
      </c>
      <c r="C41" s="19">
        <f>SUBTOTAL(109,Food99112125138151[Budgeted
cost])</f>
        <v>0</v>
      </c>
      <c r="D41" s="19">
        <f>SUBTOTAL(109,Food99112125138151[Actual
cost])</f>
        <v>0</v>
      </c>
      <c r="E41" s="61"/>
      <c r="F41" s="19">
        <f>SUBTOTAL(109,Food99112125138151[Difference])</f>
        <v>0</v>
      </c>
      <c r="G41" s="13"/>
      <c r="H41" s="3"/>
      <c r="I41" s="4"/>
      <c r="J41" s="4"/>
      <c r="K41" s="65"/>
    </row>
    <row r="42" spans="2:12" ht="24.6">
      <c r="B42" s="5"/>
      <c r="C42" s="6"/>
      <c r="D42" s="6"/>
      <c r="E42" s="62"/>
      <c r="F42" s="13"/>
      <c r="G42" s="13"/>
      <c r="I42" s="20"/>
      <c r="J42" s="20"/>
      <c r="K42" s="59"/>
    </row>
    <row r="43" spans="2:12" ht="27.6">
      <c r="B43" s="22" t="s">
        <v>22</v>
      </c>
      <c r="C43" s="21" t="s">
        <v>9</v>
      </c>
      <c r="D43" s="21" t="s">
        <v>10</v>
      </c>
      <c r="E43" s="63" t="s">
        <v>37</v>
      </c>
      <c r="F43" s="21" t="s">
        <v>11</v>
      </c>
      <c r="G43" s="13"/>
      <c r="H43" s="22" t="s">
        <v>16</v>
      </c>
      <c r="I43" s="21" t="s">
        <v>9</v>
      </c>
      <c r="J43" s="23" t="s">
        <v>10</v>
      </c>
      <c r="K43" s="63" t="s">
        <v>37</v>
      </c>
      <c r="L43" s="21" t="s">
        <v>11</v>
      </c>
    </row>
    <row r="44" spans="2:12">
      <c r="B44" s="18" t="s">
        <v>54</v>
      </c>
      <c r="C44" s="17"/>
      <c r="D44" s="17"/>
      <c r="E44" s="58"/>
      <c r="F44" s="17">
        <f>Children98111124137150[[#This Row],[Budgeted
cost]]-Children98111124137150[[#This Row],[Actual
cost]]</f>
        <v>0</v>
      </c>
      <c r="H44" s="18" t="s">
        <v>77</v>
      </c>
      <c r="I44" s="17"/>
      <c r="J44" s="17"/>
      <c r="K44" s="58"/>
      <c r="L44" s="17">
        <f>Loans94107120133146[[#This Row],[Budgeted
cost]]-Loans94107120133146[[#This Row],[Actual
cost]]</f>
        <v>0</v>
      </c>
    </row>
    <row r="45" spans="2:12">
      <c r="B45" s="18" t="s">
        <v>58</v>
      </c>
      <c r="C45" s="17"/>
      <c r="D45" s="17"/>
      <c r="E45" s="58"/>
      <c r="F45" s="17">
        <f>Children98111124137150[[#This Row],[Budgeted
cost]]-Children98111124137150[[#This Row],[Actual
cost]]</f>
        <v>0</v>
      </c>
      <c r="G45" s="13"/>
      <c r="H45" s="18" t="s">
        <v>78</v>
      </c>
      <c r="I45" s="17"/>
      <c r="J45" s="17"/>
      <c r="K45" s="58"/>
      <c r="L45" s="17">
        <f>Loans94107120133146[[#This Row],[Budgeted
cost]]-Loans94107120133146[[#This Row],[Actual
cost]]</f>
        <v>0</v>
      </c>
    </row>
    <row r="46" spans="2:12">
      <c r="B46" s="18" t="s">
        <v>79</v>
      </c>
      <c r="C46" s="17"/>
      <c r="D46" s="17"/>
      <c r="E46" s="58"/>
      <c r="F46" s="17">
        <f>Children98111124137150[[#This Row],[Budgeted
cost]]-Children98111124137150[[#This Row],[Actual
cost]]</f>
        <v>0</v>
      </c>
      <c r="G46" s="13"/>
      <c r="H46" s="18" t="s">
        <v>80</v>
      </c>
      <c r="I46" s="17"/>
      <c r="J46" s="17"/>
      <c r="K46" s="58"/>
      <c r="L46" s="17">
        <f>Loans94107120133146[[#This Row],[Budgeted
cost]]-Loans94107120133146[[#This Row],[Actual
cost]]</f>
        <v>0</v>
      </c>
    </row>
    <row r="47" spans="2:12">
      <c r="B47" s="18" t="s">
        <v>81</v>
      </c>
      <c r="C47" s="17"/>
      <c r="D47" s="17"/>
      <c r="E47" s="58"/>
      <c r="F47" s="17">
        <f>Children98111124137150[[#This Row],[Budgeted
cost]]-Children98111124137150[[#This Row],[Actual
cost]]</f>
        <v>0</v>
      </c>
      <c r="G47" s="13"/>
      <c r="H47" s="18" t="s">
        <v>80</v>
      </c>
      <c r="I47" s="17"/>
      <c r="J47" s="17"/>
      <c r="K47" s="58"/>
      <c r="L47" s="17">
        <f>Loans94107120133146[[#This Row],[Budgeted
cost]]-Loans94107120133146[[#This Row],[Actual
cost]]</f>
        <v>0</v>
      </c>
    </row>
    <row r="48" spans="2:12">
      <c r="B48" s="18" t="s">
        <v>63</v>
      </c>
      <c r="C48" s="17"/>
      <c r="D48" s="17"/>
      <c r="E48" s="58"/>
      <c r="F48" s="17">
        <f>Children98111124137150[[#This Row],[Budgeted
cost]]-Children98111124137150[[#This Row],[Actual
cost]]</f>
        <v>0</v>
      </c>
      <c r="G48" s="13"/>
      <c r="H48" s="18" t="s">
        <v>80</v>
      </c>
      <c r="I48" s="17"/>
      <c r="J48" s="17"/>
      <c r="K48" s="58"/>
      <c r="L48" s="17">
        <f>Loans94107120133146[[#This Row],[Budgeted
cost]]-Loans94107120133146[[#This Row],[Actual
cost]]</f>
        <v>0</v>
      </c>
    </row>
    <row r="49" spans="2:12">
      <c r="B49" s="18" t="s">
        <v>82</v>
      </c>
      <c r="C49" s="17"/>
      <c r="D49" s="17"/>
      <c r="E49" s="58"/>
      <c r="F49" s="17">
        <f>Children98111124137150[[#This Row],[Budgeted
cost]]-Children98111124137150[[#This Row],[Actual
cost]]</f>
        <v>0</v>
      </c>
      <c r="G49" s="13"/>
      <c r="H49" s="18" t="s">
        <v>49</v>
      </c>
      <c r="I49" s="17"/>
      <c r="J49" s="17"/>
      <c r="K49" s="58"/>
      <c r="L49" s="17">
        <f>Loans94107120133146[[#This Row],[Budgeted
cost]]-Loans94107120133146[[#This Row],[Actual
cost]]</f>
        <v>0</v>
      </c>
    </row>
    <row r="50" spans="2:12">
      <c r="B50" s="18" t="s">
        <v>83</v>
      </c>
      <c r="C50" s="17"/>
      <c r="D50" s="17"/>
      <c r="E50" s="58"/>
      <c r="F50" s="17">
        <f>Children98111124137150[[#This Row],[Budgeted
cost]]-Children98111124137150[[#This Row],[Actual
cost]]</f>
        <v>0</v>
      </c>
      <c r="G50" s="13"/>
      <c r="H50" s="18" t="s">
        <v>49</v>
      </c>
      <c r="I50" s="17"/>
      <c r="J50" s="17"/>
      <c r="K50" s="58"/>
      <c r="L50" s="17">
        <f>Loans94107120133146[[#This Row],[Budgeted
cost]]-Loans94107120133146[[#This Row],[Actual
cost]]</f>
        <v>0</v>
      </c>
    </row>
    <row r="51" spans="2:12">
      <c r="B51" s="18" t="s">
        <v>84</v>
      </c>
      <c r="C51" s="17"/>
      <c r="D51" s="17"/>
      <c r="E51" s="58"/>
      <c r="F51" s="17">
        <f>Children98111124137150[[#This Row],[Budgeted
cost]]-Children98111124137150[[#This Row],[Actual
cost]]</f>
        <v>0</v>
      </c>
      <c r="G51" s="13"/>
      <c r="H51" s="18" t="s">
        <v>31</v>
      </c>
      <c r="I51" s="19">
        <f>SUBTOTAL(109,Loans94107120133146[Budgeted
cost])</f>
        <v>0</v>
      </c>
      <c r="J51" s="19">
        <f>SUBTOTAL(109,Loans94107120133146[Actual
cost])</f>
        <v>0</v>
      </c>
      <c r="K51" s="61"/>
      <c r="L51" s="19">
        <f>SUBTOTAL(109,Loans94107120133146[Difference])</f>
        <v>0</v>
      </c>
    </row>
    <row r="52" spans="2:12">
      <c r="B52" s="18" t="s">
        <v>49</v>
      </c>
      <c r="C52" s="17"/>
      <c r="D52" s="17"/>
      <c r="E52" s="58"/>
      <c r="F52" s="17">
        <f>Children98111124137150[[#This Row],[Budgeted
cost]]-Children98111124137150[[#This Row],[Actual
cost]]</f>
        <v>0</v>
      </c>
      <c r="G52" s="13"/>
    </row>
    <row r="53" spans="2:12" ht="17.45">
      <c r="B53" s="18" t="s">
        <v>49</v>
      </c>
      <c r="C53" s="17"/>
      <c r="D53" s="17"/>
      <c r="E53" s="58"/>
      <c r="F53" s="17">
        <f>Children98111124137150[[#This Row],[Budgeted
cost]]-Children98111124137150[[#This Row],[Actual
cost]]</f>
        <v>0</v>
      </c>
      <c r="G53" s="13"/>
      <c r="H53" s="7"/>
      <c r="I53" s="6"/>
      <c r="J53" s="6"/>
      <c r="K53" s="62"/>
    </row>
    <row r="54" spans="2:12">
      <c r="B54" s="18" t="s">
        <v>31</v>
      </c>
      <c r="C54" s="19">
        <f>SUBTOTAL(109,Children98111124137150[Budgeted
cost])</f>
        <v>0</v>
      </c>
      <c r="D54" s="19">
        <f>SUBTOTAL(109,Children98111124137150[Actual
cost])</f>
        <v>0</v>
      </c>
      <c r="E54" s="61"/>
      <c r="F54" s="19">
        <f>SUBTOTAL(109,Children98111124137150[Difference])</f>
        <v>0</v>
      </c>
      <c r="G54" s="13"/>
    </row>
    <row r="55" spans="2:12" ht="15">
      <c r="B55" s="5"/>
      <c r="C55" s="6"/>
      <c r="D55" s="6"/>
      <c r="E55" s="62"/>
      <c r="F55" s="13"/>
      <c r="G55" s="13"/>
    </row>
    <row r="56" spans="2:12" ht="27.6">
      <c r="B56" s="22" t="s">
        <v>25</v>
      </c>
      <c r="C56" s="21" t="s">
        <v>9</v>
      </c>
      <c r="D56" s="21" t="s">
        <v>10</v>
      </c>
      <c r="E56" s="63" t="s">
        <v>37</v>
      </c>
      <c r="F56" s="21" t="s">
        <v>11</v>
      </c>
      <c r="G56" s="14"/>
      <c r="H56" s="22" t="s">
        <v>30</v>
      </c>
      <c r="I56" s="21" t="s">
        <v>9</v>
      </c>
      <c r="J56" s="23" t="s">
        <v>10</v>
      </c>
      <c r="K56" s="63" t="s">
        <v>37</v>
      </c>
      <c r="L56" s="21" t="s">
        <v>11</v>
      </c>
    </row>
    <row r="57" spans="2:12">
      <c r="B57" s="18" t="s">
        <v>85</v>
      </c>
      <c r="C57" s="17"/>
      <c r="D57" s="17"/>
      <c r="E57" s="58"/>
      <c r="F57" s="17">
        <f>Legal90103116129142[[#This Row],[Budgeted
cost]]-Legal90103116129142[[#This Row],[Actual
cost]]</f>
        <v>0</v>
      </c>
      <c r="H57" s="18" t="s">
        <v>86</v>
      </c>
      <c r="I57" s="17"/>
      <c r="J57" s="17"/>
      <c r="K57" s="58"/>
      <c r="L57" s="17">
        <f>Gifts91104117130143[[#This Row],[Budgeted
cost]]-Gifts91104117130143[[#This Row],[Actual
cost]]</f>
        <v>0</v>
      </c>
    </row>
    <row r="58" spans="2:12">
      <c r="B58" s="18" t="s">
        <v>87</v>
      </c>
      <c r="C58" s="17"/>
      <c r="D58" s="17"/>
      <c r="E58" s="58"/>
      <c r="F58" s="17">
        <f>Legal90103116129142[[#This Row],[Budgeted
cost]]-Legal90103116129142[[#This Row],[Actual
cost]]</f>
        <v>0</v>
      </c>
      <c r="G58" s="13"/>
      <c r="H58" s="18" t="s">
        <v>88</v>
      </c>
      <c r="I58" s="17"/>
      <c r="J58" s="17"/>
      <c r="K58" s="58"/>
      <c r="L58" s="17">
        <f>Gifts91104117130143[[#This Row],[Budgeted
cost]]-Gifts91104117130143[[#This Row],[Actual
cost]]</f>
        <v>0</v>
      </c>
    </row>
    <row r="59" spans="2:12">
      <c r="B59" s="18" t="s">
        <v>89</v>
      </c>
      <c r="C59" s="17"/>
      <c r="D59" s="17"/>
      <c r="E59" s="58"/>
      <c r="F59" s="17">
        <f>Legal90103116129142[[#This Row],[Budgeted
cost]]-Legal90103116129142[[#This Row],[Actual
cost]]</f>
        <v>0</v>
      </c>
      <c r="G59" s="13"/>
      <c r="H59" s="18" t="s">
        <v>90</v>
      </c>
      <c r="I59" s="17"/>
      <c r="J59" s="17"/>
      <c r="K59" s="58"/>
      <c r="L59" s="17">
        <f>Gifts91104117130143[[#This Row],[Budgeted
cost]]-Gifts91104117130143[[#This Row],[Actual
cost]]</f>
        <v>0</v>
      </c>
    </row>
    <row r="60" spans="2:12">
      <c r="B60" s="18" t="s">
        <v>49</v>
      </c>
      <c r="C60" s="17"/>
      <c r="D60" s="17"/>
      <c r="E60" s="58"/>
      <c r="F60" s="17">
        <f>Legal90103116129142[[#This Row],[Budgeted
cost]]-Legal90103116129142[[#This Row],[Actual
cost]]</f>
        <v>0</v>
      </c>
      <c r="G60" s="13"/>
      <c r="H60" s="18" t="s">
        <v>31</v>
      </c>
      <c r="I60" s="19">
        <f>SUBTOTAL(109,Gifts91104117130143[Budgeted
cost])</f>
        <v>0</v>
      </c>
      <c r="J60" s="19">
        <f>SUBTOTAL(109,Gifts91104117130143[Actual
cost])</f>
        <v>0</v>
      </c>
      <c r="K60" s="64"/>
      <c r="L60" s="19">
        <f>SUBTOTAL(109,Gifts91104117130143[Difference])</f>
        <v>0</v>
      </c>
    </row>
    <row r="61" spans="2:12">
      <c r="B61" s="18" t="s">
        <v>49</v>
      </c>
      <c r="C61" s="17"/>
      <c r="D61" s="17"/>
      <c r="E61" s="58"/>
      <c r="F61" s="17">
        <f>Legal90103116129142[[#This Row],[Budgeted
cost]]-Legal90103116129142[[#This Row],[Actual
cost]]</f>
        <v>0</v>
      </c>
      <c r="G61" s="13"/>
    </row>
    <row r="62" spans="2:12">
      <c r="B62" s="18" t="s">
        <v>31</v>
      </c>
      <c r="C62" s="19">
        <f>SUBTOTAL(109,Legal90103116129142[Budgeted
cost])</f>
        <v>0</v>
      </c>
      <c r="D62" s="19">
        <f>SUBTOTAL(109,Legal90103116129142[Actual
cost])</f>
        <v>0</v>
      </c>
      <c r="E62" s="61"/>
      <c r="F62" s="19">
        <f>SUBTOTAL(109,Legal90103116129142[Difference])</f>
        <v>0</v>
      </c>
      <c r="G62" s="13"/>
    </row>
    <row r="63" spans="2:12" ht="24.6">
      <c r="E63" s="12"/>
      <c r="G63" s="15"/>
      <c r="I63" s="20"/>
      <c r="J63" s="20"/>
      <c r="K63" s="59"/>
    </row>
    <row r="64" spans="2:12" ht="27.6">
      <c r="B64" s="22" t="s">
        <v>19</v>
      </c>
      <c r="C64" s="21" t="s">
        <v>9</v>
      </c>
      <c r="D64" s="23" t="s">
        <v>10</v>
      </c>
      <c r="E64" s="63" t="s">
        <v>37</v>
      </c>
      <c r="F64" s="21" t="s">
        <v>11</v>
      </c>
      <c r="G64" s="14"/>
    </row>
    <row r="65" spans="2:10">
      <c r="B65" s="18" t="s">
        <v>91</v>
      </c>
      <c r="C65" s="17"/>
      <c r="D65" s="17"/>
      <c r="E65" s="58"/>
      <c r="F65" s="17">
        <f>Entertainment95108121134147[[#This Row],[Budgeted
cost]]-Entertainment95108121134147[[#This Row],[Actual
cost]]</f>
        <v>0</v>
      </c>
    </row>
    <row r="66" spans="2:10">
      <c r="B66" s="18" t="s">
        <v>92</v>
      </c>
      <c r="C66" s="17"/>
      <c r="D66" s="17"/>
      <c r="E66" s="58"/>
      <c r="F66" s="17">
        <f>Entertainment95108121134147[[#This Row],[Budgeted
cost]]-Entertainment95108121134147[[#This Row],[Actual
cost]]</f>
        <v>0</v>
      </c>
      <c r="G66" s="13"/>
    </row>
    <row r="67" spans="2:10">
      <c r="B67" s="18" t="s">
        <v>93</v>
      </c>
      <c r="C67" s="17"/>
      <c r="D67" s="17"/>
      <c r="E67" s="58"/>
      <c r="F67" s="17">
        <f>Entertainment95108121134147[[#This Row],[Budgeted
cost]]-Entertainment95108121134147[[#This Row],[Actual
cost]]</f>
        <v>0</v>
      </c>
      <c r="G67" s="13"/>
    </row>
    <row r="68" spans="2:10">
      <c r="B68" s="18" t="s">
        <v>94</v>
      </c>
      <c r="C68" s="17"/>
      <c r="D68" s="17"/>
      <c r="E68" s="58"/>
      <c r="F68" s="17">
        <f>Entertainment95108121134147[[#This Row],[Budgeted
cost]]-Entertainment95108121134147[[#This Row],[Actual
cost]]</f>
        <v>0</v>
      </c>
    </row>
    <row r="69" spans="2:10">
      <c r="B69" s="18" t="s">
        <v>95</v>
      </c>
      <c r="C69" s="17"/>
      <c r="D69" s="17"/>
      <c r="E69" s="58"/>
      <c r="F69" s="17">
        <f>Entertainment95108121134147[[#This Row],[Budgeted
cost]]-Entertainment95108121134147[[#This Row],[Actual
cost]]</f>
        <v>0</v>
      </c>
    </row>
    <row r="70" spans="2:10">
      <c r="B70" s="18" t="s">
        <v>96</v>
      </c>
      <c r="C70" s="17"/>
      <c r="D70" s="17"/>
      <c r="E70" s="58"/>
      <c r="F70" s="17">
        <f>Entertainment95108121134147[[#This Row],[Budgeted
cost]]-Entertainment95108121134147[[#This Row],[Actual
cost]]</f>
        <v>0</v>
      </c>
    </row>
    <row r="71" spans="2:10">
      <c r="B71" s="18" t="s">
        <v>49</v>
      </c>
      <c r="C71" s="17"/>
      <c r="D71" s="17"/>
      <c r="E71" s="58"/>
      <c r="F71" s="17">
        <f>Entertainment95108121134147[[#This Row],[Budgeted
cost]]-Entertainment95108121134147[[#This Row],[Actual
cost]]</f>
        <v>0</v>
      </c>
    </row>
    <row r="72" spans="2:10">
      <c r="B72" s="18" t="s">
        <v>31</v>
      </c>
      <c r="C72" s="19">
        <f>SUBTOTAL(109,Entertainment95108121134147[Budgeted
cost])</f>
        <v>0</v>
      </c>
      <c r="D72" s="19">
        <f>SUBTOTAL(109,Entertainment95108121134147[Actual
cost])</f>
        <v>0</v>
      </c>
      <c r="E72" s="64"/>
      <c r="F72" s="19">
        <f>SUBTOTAL(109,Entertainment95108121134147[Difference])</f>
        <v>0</v>
      </c>
      <c r="J72" s="16"/>
    </row>
    <row r="73" spans="2:10">
      <c r="E73" s="12"/>
    </row>
    <row r="74" spans="2:10">
      <c r="E74" s="12"/>
    </row>
  </sheetData>
  <conditionalFormatting sqref="B1:B14 F1:F14 G1:G25 H3:L10 H16:L24 B16:F26 G27:G33 H28:L33 B28:F34 H36:L40 B36:F42 G37:G43 H41:K41 H44:L51 B44:F55 G45:G56 H53:K53 H57:L60 B57:F62 G58:G64 B65:F72 G66:G67">
    <cfRule type="cellIs" dxfId="759" priority="3" operator="lessThan">
      <formula>0</formula>
    </cfRule>
  </conditionalFormatting>
  <conditionalFormatting sqref="B3:F13">
    <cfRule type="cellIs" dxfId="758" priority="2" operator="lessThan">
      <formula>0</formula>
    </cfRule>
  </conditionalFormatting>
  <conditionalFormatting sqref="F3:F12">
    <cfRule type="iconSet" priority="1">
      <iconSet iconSet="3Arrows">
        <cfvo type="percentile" val="0"/>
        <cfvo type="num" val="-50"/>
        <cfvo type="num" val="50"/>
      </iconSet>
    </cfRule>
  </conditionalFormatting>
  <conditionalFormatting sqref="L28:L32 L57:L59 F65:F71 L36:L39 F16:F24 L44:L50 F28:F32 F36:F40 F44:F53 L16:L23 F57:F61 L3:L9">
    <cfRule type="iconSet" priority="4">
      <iconSet iconSet="3Arrows">
        <cfvo type="percentile" val="0"/>
        <cfvo type="num" val="-50"/>
        <cfvo type="num" val="50"/>
      </iconSet>
    </cfRule>
  </conditionalFormatting>
  <dataValidations count="1">
    <dataValidation allowBlank="1" showInputMessage="1" showErrorMessage="1" prompt="Enter details in Transportation table below and in Insurance table starting in cell B30" sqref="G1:G14 B1:B12 B14" xr:uid="{5CCDFCF9-8AAB-4262-9BDE-09102A213690}"/>
  </dataValidations>
  <pageMargins left="0.7" right="0.7" top="0.75" bottom="0.75" header="0.3" footer="0.3"/>
  <pageSetup orientation="landscape" horizontalDpi="1200" verticalDpi="1200" r:id="rId1"/>
  <headerFooter>
    <oddFooter>&amp;C&amp;P&amp;R&amp;G</oddFooter>
  </headerFooter>
  <legacyDrawingHF r:id="rId2"/>
  <tableParts count="13">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FF6BC-E5CC-4937-BD5B-2B67EBF97E66}">
  <sheetPr>
    <tabColor theme="4"/>
  </sheetPr>
  <dimension ref="B1:J61"/>
  <sheetViews>
    <sheetView zoomScale="70" zoomScaleNormal="70" zoomScalePageLayoutView="70" workbookViewId="0">
      <selection activeCell="C3" sqref="C3:D3"/>
    </sheetView>
  </sheetViews>
  <sheetFormatPr defaultColWidth="9" defaultRowHeight="30" customHeight="1"/>
  <cols>
    <col min="1" max="1" width="1.25" customWidth="1"/>
    <col min="2" max="6" width="24.625" customWidth="1"/>
    <col min="7" max="7" width="7.75" customWidth="1"/>
    <col min="8" max="8" width="32.875" customWidth="1"/>
    <col min="9" max="9" width="32.875" style="2" customWidth="1"/>
    <col min="10" max="10" width="2.375" customWidth="1"/>
  </cols>
  <sheetData>
    <row r="1" spans="2:10" ht="77.25" customHeight="1">
      <c r="B1" s="113" t="s">
        <v>102</v>
      </c>
      <c r="C1" s="113"/>
      <c r="D1" s="113"/>
      <c r="E1" s="113"/>
      <c r="F1" s="113"/>
      <c r="G1" s="113"/>
      <c r="H1" s="113"/>
      <c r="I1" s="26"/>
      <c r="J1" s="27"/>
    </row>
    <row r="2" spans="2:10" ht="35.450000000000003">
      <c r="B2" s="54" t="s">
        <v>1</v>
      </c>
      <c r="C2" s="24" t="s">
        <v>2</v>
      </c>
      <c r="D2" s="55" t="s">
        <v>3</v>
      </c>
      <c r="E2" s="25" t="s">
        <v>4</v>
      </c>
      <c r="F2" s="1"/>
      <c r="H2" s="36"/>
      <c r="I2" s="26"/>
      <c r="J2" s="29"/>
    </row>
    <row r="3" spans="2:10" ht="35.450000000000003">
      <c r="B3" s="11"/>
      <c r="C3" s="76">
        <f>C19</f>
        <v>0</v>
      </c>
      <c r="D3" s="76">
        <f>D19</f>
        <v>0</v>
      </c>
      <c r="E3" s="78">
        <f>SUM(C3-D3)</f>
        <v>0</v>
      </c>
      <c r="F3" s="1"/>
      <c r="H3" s="36"/>
      <c r="I3" s="26"/>
      <c r="J3" s="29"/>
    </row>
    <row r="4" spans="2:10" ht="35.450000000000003">
      <c r="C4" s="33"/>
      <c r="D4" s="33"/>
      <c r="E4" s="33"/>
      <c r="F4" s="10"/>
      <c r="H4" s="36"/>
      <c r="I4" s="26"/>
      <c r="J4" s="29"/>
    </row>
    <row r="5" spans="2:10" ht="27.6">
      <c r="B5" s="79" t="s">
        <v>8</v>
      </c>
      <c r="C5" s="80" t="s">
        <v>9</v>
      </c>
      <c r="D5" s="80" t="s">
        <v>10</v>
      </c>
      <c r="E5" s="81" t="s">
        <v>11</v>
      </c>
      <c r="G5" s="10"/>
      <c r="H5" s="114" t="s">
        <v>33</v>
      </c>
      <c r="I5" s="115"/>
      <c r="J5" s="30"/>
    </row>
    <row r="6" spans="2:10" ht="15">
      <c r="B6" s="82" t="s">
        <v>13</v>
      </c>
      <c r="C6" s="83">
        <f>Housing[[#Totals],[Budgeted
cost]]</f>
        <v>0</v>
      </c>
      <c r="D6" s="83">
        <f>Housing[[#Totals],[Actual
cost]]</f>
        <v>0</v>
      </c>
      <c r="E6" s="84">
        <f>'July - Overview'!$C6-'July - Overview'!$D6</f>
        <v>0</v>
      </c>
      <c r="G6" s="10"/>
      <c r="H6" s="37" t="s">
        <v>6</v>
      </c>
      <c r="I6" s="38"/>
      <c r="J6" s="28"/>
    </row>
    <row r="7" spans="2:10" ht="15">
      <c r="B7" s="85" t="s">
        <v>15</v>
      </c>
      <c r="C7" s="73">
        <f>Transportation[[#Totals],[Budgeted
cost]]</f>
        <v>0</v>
      </c>
      <c r="D7" s="73">
        <f>Transportation[[#Totals],[Actual
cost]]</f>
        <v>0</v>
      </c>
      <c r="E7" s="86">
        <f>'July - Overview'!$C7-'July - Overview'!$D7</f>
        <v>0</v>
      </c>
      <c r="G7" s="10"/>
      <c r="H7" s="69" t="s">
        <v>7</v>
      </c>
      <c r="I7" s="71"/>
      <c r="J7" s="28"/>
    </row>
    <row r="8" spans="2:10" ht="15">
      <c r="B8" s="87" t="s">
        <v>16</v>
      </c>
      <c r="C8" s="72">
        <f>Loans[[#Totals],[Budgeted
cost]]</f>
        <v>0</v>
      </c>
      <c r="D8" s="72">
        <f>Loans[[#Totals],[Actual
cost]]</f>
        <v>0</v>
      </c>
      <c r="E8" s="88">
        <f>'July - Overview'!$C8-'July - Overview'!$D8</f>
        <v>0</v>
      </c>
      <c r="G8" s="10"/>
      <c r="H8" s="41" t="s">
        <v>12</v>
      </c>
      <c r="I8" s="38"/>
      <c r="J8" s="28"/>
    </row>
    <row r="9" spans="2:10" ht="17.45">
      <c r="B9" s="85" t="s">
        <v>18</v>
      </c>
      <c r="C9" s="73">
        <f>Insurance[[#Totals],[Budgeted
cost]]</f>
        <v>0</v>
      </c>
      <c r="D9" s="73">
        <f>Insurance[[#Totals],[Actual
cost]]</f>
        <v>0</v>
      </c>
      <c r="E9" s="86">
        <f>'July - Overview'!$C9-'July - Overview'!$D9</f>
        <v>0</v>
      </c>
      <c r="G9" s="10"/>
      <c r="H9" s="42" t="s">
        <v>14</v>
      </c>
      <c r="I9" s="43">
        <f>SUM(I6:I8)</f>
        <v>0</v>
      </c>
      <c r="J9" s="28"/>
    </row>
    <row r="10" spans="2:10" ht="15">
      <c r="B10" s="87" t="s">
        <v>19</v>
      </c>
      <c r="C10" s="72">
        <f>Entertainment[[#Totals],[Budgeted
cost]]</f>
        <v>0</v>
      </c>
      <c r="D10" s="72">
        <f>Entertainment[[#Totals],[Actual
cost]]</f>
        <v>0</v>
      </c>
      <c r="E10" s="88">
        <f>'July - Overview'!$C10-'July - Overview'!$D10</f>
        <v>0</v>
      </c>
      <c r="G10" s="10"/>
      <c r="H10" s="31"/>
      <c r="I10" s="31"/>
      <c r="J10" s="28"/>
    </row>
    <row r="11" spans="2:10" ht="24.6">
      <c r="B11" s="85" t="s">
        <v>20</v>
      </c>
      <c r="C11" s="94">
        <f>Food[[#Totals],[Budgeted
cost]]</f>
        <v>0</v>
      </c>
      <c r="D11" s="94">
        <f>Food[[#Totals],[Actual
cost]]</f>
        <v>0</v>
      </c>
      <c r="E11" s="95">
        <f>'July - Overview'!$C11-'July - Overview'!$D11</f>
        <v>0</v>
      </c>
      <c r="G11" s="10"/>
      <c r="H11" s="116" t="s">
        <v>34</v>
      </c>
      <c r="I11" s="117"/>
      <c r="J11" s="31"/>
    </row>
    <row r="12" spans="2:10" ht="15">
      <c r="B12" s="87" t="s">
        <v>21</v>
      </c>
      <c r="C12" s="96">
        <f>Taxes[[#Totals],[Budgeted 
cost]]</f>
        <v>0</v>
      </c>
      <c r="D12" s="96">
        <f>Taxes[[#Totals],[Actual 
cost]]</f>
        <v>0</v>
      </c>
      <c r="E12" s="97">
        <f>'July - Overview'!$C12-'July - Overview'!$D12</f>
        <v>0</v>
      </c>
      <c r="G12" s="10"/>
      <c r="H12" s="41" t="s">
        <v>6</v>
      </c>
      <c r="I12" s="44"/>
      <c r="J12" s="30"/>
    </row>
    <row r="13" spans="2:10" ht="15">
      <c r="B13" s="85" t="s">
        <v>22</v>
      </c>
      <c r="C13" s="98">
        <f>Children[[#Totals],[Budgeted
cost]]</f>
        <v>0</v>
      </c>
      <c r="D13" s="98">
        <f>Children[[#Totals],[Actual
cost]]</f>
        <v>0</v>
      </c>
      <c r="E13" s="99">
        <f>'July - Overview'!$C13-'July - Overview'!$D13</f>
        <v>0</v>
      </c>
      <c r="G13" s="10"/>
      <c r="H13" s="69" t="s">
        <v>7</v>
      </c>
      <c r="I13" s="70"/>
      <c r="J13" s="28"/>
    </row>
    <row r="14" spans="2:10" ht="15">
      <c r="B14" s="87" t="s">
        <v>23</v>
      </c>
      <c r="C14" s="100">
        <f>PersonalCare[[#Totals],[Budgeted
cost]]</f>
        <v>0</v>
      </c>
      <c r="D14" s="100">
        <f>PersonalCare[[#Totals],[Actual
cost]]</f>
        <v>0</v>
      </c>
      <c r="E14" s="101">
        <f>'July - Overview'!$C14-'July - Overview'!$D14</f>
        <v>0</v>
      </c>
      <c r="G14" s="10"/>
      <c r="H14" s="41" t="s">
        <v>12</v>
      </c>
      <c r="I14" s="44"/>
      <c r="J14" s="28"/>
    </row>
    <row r="15" spans="2:10" ht="17.45">
      <c r="B15" s="85" t="s">
        <v>25</v>
      </c>
      <c r="C15" s="94">
        <f>Legal[[#Totals],[Budgeted
cost]]</f>
        <v>0</v>
      </c>
      <c r="D15" s="94">
        <f>Legal[[#Totals],[Actual
cost]]</f>
        <v>0</v>
      </c>
      <c r="E15" s="95">
        <f>'July - Overview'!$C15-'July - Overview'!$D15</f>
        <v>0</v>
      </c>
      <c r="G15" s="10"/>
      <c r="H15" s="46" t="s">
        <v>14</v>
      </c>
      <c r="I15" s="47">
        <f>SUM(I12:I14)</f>
        <v>0</v>
      </c>
      <c r="J15" s="28"/>
    </row>
    <row r="16" spans="2:10" ht="15">
      <c r="B16" s="87" t="s">
        <v>27</v>
      </c>
      <c r="C16" s="96">
        <f>Pets[[#Totals],[Budgeted
cost]]</f>
        <v>0</v>
      </c>
      <c r="D16" s="96">
        <f>Pets[[#Totals],[Actual
cost]]</f>
        <v>0</v>
      </c>
      <c r="E16" s="97">
        <f>'July - Overview'!$C16-'July - Overview'!$D16</f>
        <v>0</v>
      </c>
      <c r="G16" s="10"/>
      <c r="H16" s="31"/>
      <c r="I16" s="31"/>
      <c r="J16" s="28"/>
    </row>
    <row r="17" spans="2:10" ht="24.6">
      <c r="B17" s="85" t="s">
        <v>29</v>
      </c>
      <c r="C17" s="73">
        <f>Savings[[#Totals],[Budgeted
cost]]</f>
        <v>0</v>
      </c>
      <c r="D17" s="73">
        <f>Savings[[#Totals],[Actual
cost]]</f>
        <v>0</v>
      </c>
      <c r="E17" s="86">
        <f>'July - Overview'!$C17-'July - Overview'!$D17</f>
        <v>0</v>
      </c>
      <c r="F17" s="10"/>
      <c r="G17" s="8"/>
      <c r="H17" s="118" t="s">
        <v>24</v>
      </c>
      <c r="I17" s="119"/>
      <c r="J17" s="29"/>
    </row>
    <row r="18" spans="2:10" ht="15.6" thickBot="1">
      <c r="B18" s="87" t="s">
        <v>30</v>
      </c>
      <c r="C18" s="72">
        <f>Gifts[[#Totals],[Budgeted
cost]]</f>
        <v>0</v>
      </c>
      <c r="D18" s="72">
        <f>Gifts[[#Totals],[Actual
cost]]</f>
        <v>0</v>
      </c>
      <c r="E18" s="88">
        <f>'July - Overview'!$C18-'July - Overview'!$D18</f>
        <v>0</v>
      </c>
      <c r="F18" s="34"/>
      <c r="G18" s="35"/>
      <c r="H18" s="48" t="s">
        <v>35</v>
      </c>
      <c r="I18" s="49">
        <f>SUM(I9-'July - Overview'!$C$3:$C$3)</f>
        <v>0</v>
      </c>
      <c r="J18" s="29"/>
    </row>
    <row r="19" spans="2:10" s="32" customFormat="1" ht="25.15" thickTop="1">
      <c r="B19" s="91" t="s">
        <v>31</v>
      </c>
      <c r="C19" s="92">
        <f>SUBTOTAL(109,'July - Overview'!$C$6:$C$18)</f>
        <v>0</v>
      </c>
      <c r="D19" s="92">
        <f>SUBTOTAL(109,'July - Overview'!$D$6:$D$18)</f>
        <v>0</v>
      </c>
      <c r="E19" s="93">
        <f>SUBTOTAL(109,'July - Overview'!$E$6:$E$18)</f>
        <v>0</v>
      </c>
      <c r="H19" s="67" t="s">
        <v>36</v>
      </c>
      <c r="I19" s="68">
        <f>SUM(I15-D3)</f>
        <v>0</v>
      </c>
    </row>
    <row r="20" spans="2:10" ht="17.45">
      <c r="H20" s="52" t="s">
        <v>11</v>
      </c>
      <c r="I20" s="53">
        <f>SUM(I19-I18)</f>
        <v>0</v>
      </c>
    </row>
    <row r="21" spans="2:10" ht="30" customHeight="1">
      <c r="H21" s="8"/>
      <c r="I21" s="9"/>
    </row>
    <row r="22" spans="2:10" ht="30" customHeight="1">
      <c r="I22"/>
    </row>
    <row r="23" spans="2:10" ht="30" customHeight="1">
      <c r="I23"/>
    </row>
    <row r="24" spans="2:10" ht="30" customHeight="1">
      <c r="I24"/>
    </row>
    <row r="25" spans="2:10" ht="30" customHeight="1">
      <c r="I25"/>
    </row>
    <row r="26" spans="2:10" ht="30" customHeight="1">
      <c r="I26"/>
    </row>
    <row r="27" spans="2:10" ht="37.9" customHeight="1">
      <c r="I27"/>
    </row>
    <row r="28" spans="2:10" ht="30" customHeight="1">
      <c r="I28"/>
    </row>
    <row r="29" spans="2:10" ht="48" customHeight="1">
      <c r="I29"/>
    </row>
    <row r="30" spans="2:10" ht="30" customHeight="1">
      <c r="I30"/>
    </row>
    <row r="31" spans="2:10" ht="30" customHeight="1">
      <c r="I31"/>
    </row>
    <row r="32" spans="2:10" ht="30" customHeight="1">
      <c r="I32"/>
    </row>
    <row r="33" spans="9:9" ht="30" customHeight="1">
      <c r="I33"/>
    </row>
    <row r="34" spans="9:9" ht="30" customHeight="1">
      <c r="I34"/>
    </row>
    <row r="35" spans="9:9" ht="30" customHeight="1">
      <c r="I35"/>
    </row>
    <row r="36" spans="9:9" ht="30" customHeight="1">
      <c r="I36"/>
    </row>
    <row r="37" spans="9:9" ht="30" customHeight="1">
      <c r="I37"/>
    </row>
    <row r="38" spans="9:9" ht="30" customHeight="1">
      <c r="I38"/>
    </row>
    <row r="39" spans="9:9" ht="30" customHeight="1">
      <c r="I39"/>
    </row>
    <row r="40" spans="9:9" ht="37.9" customHeight="1">
      <c r="I40"/>
    </row>
    <row r="41" spans="9:9" ht="30" customHeight="1">
      <c r="I41"/>
    </row>
    <row r="42" spans="9:9" ht="48" customHeight="1">
      <c r="I42"/>
    </row>
    <row r="43" spans="9:9" ht="30" customHeight="1">
      <c r="I43"/>
    </row>
    <row r="44" spans="9:9" ht="30" customHeight="1">
      <c r="I44"/>
    </row>
    <row r="45" spans="9:9" ht="30" customHeight="1">
      <c r="I45"/>
    </row>
    <row r="46" spans="9:9" ht="30" customHeight="1">
      <c r="I46"/>
    </row>
    <row r="47" spans="9:9" ht="30" customHeight="1">
      <c r="I47"/>
    </row>
    <row r="48" spans="9:9" ht="30" customHeight="1">
      <c r="I48"/>
    </row>
    <row r="49" spans="9:9" ht="37.9" customHeight="1">
      <c r="I49"/>
    </row>
    <row r="50" spans="9:9" ht="30" customHeight="1">
      <c r="I50"/>
    </row>
    <row r="51" spans="9:9" ht="48" customHeight="1">
      <c r="I51"/>
    </row>
    <row r="52" spans="9:9" ht="30" customHeight="1">
      <c r="I52"/>
    </row>
    <row r="53" spans="9:9" ht="30" customHeight="1">
      <c r="I53"/>
    </row>
    <row r="54" spans="9:9" ht="30" customHeight="1">
      <c r="I54"/>
    </row>
    <row r="55" spans="9:9" ht="30" customHeight="1">
      <c r="I55"/>
    </row>
    <row r="56" spans="9:9" ht="30" customHeight="1">
      <c r="I56"/>
    </row>
    <row r="57" spans="9:9" ht="30" customHeight="1">
      <c r="I57"/>
    </row>
    <row r="58" spans="9:9" ht="30" customHeight="1">
      <c r="I58"/>
    </row>
    <row r="59" spans="9:9" ht="30" customHeight="1">
      <c r="I59"/>
    </row>
    <row r="60" spans="9:9" ht="30" customHeight="1">
      <c r="I60"/>
    </row>
    <row r="61" spans="9:9" ht="30" customHeight="1">
      <c r="I61"/>
    </row>
  </sheetData>
  <mergeCells count="4">
    <mergeCell ref="B1:H1"/>
    <mergeCell ref="H5:I5"/>
    <mergeCell ref="H11:I11"/>
    <mergeCell ref="H17:I17"/>
  </mergeCells>
  <conditionalFormatting sqref="B1 I1:J4 B2:F2 B3 E3:F3 F4 H5:H6 G5:G16 J5:J18 I6 H7:I10 H11 H12:I15 H16:H17 F17:G18 H18:I21">
    <cfRule type="cellIs" dxfId="659" priority="5" operator="lessThan">
      <formula>0</formula>
    </cfRule>
  </conditionalFormatting>
  <conditionalFormatting sqref="B6:E19">
    <cfRule type="cellIs" dxfId="658" priority="1" operator="lessThan">
      <formula>0</formula>
    </cfRule>
  </conditionalFormatting>
  <conditionalFormatting sqref="C3:D3">
    <cfRule type="cellIs" dxfId="657" priority="4" operator="lessThan">
      <formula>0</formula>
    </cfRule>
  </conditionalFormatting>
  <conditionalFormatting sqref="E3">
    <cfRule type="iconSet" priority="3">
      <iconSet iconSet="3Arrows">
        <cfvo type="percentile" val="0"/>
        <cfvo type="num" val="-50"/>
        <cfvo type="num" val="50"/>
      </iconSet>
    </cfRule>
  </conditionalFormatting>
  <conditionalFormatting sqref="E6:E18">
    <cfRule type="iconSet" priority="2">
      <iconSet iconSet="3Arrows">
        <cfvo type="percentile" val="0"/>
        <cfvo type="num" val="-50"/>
        <cfvo type="num" val="50"/>
      </iconSet>
    </cfRule>
  </conditionalFormatting>
  <conditionalFormatting sqref="I20:I21">
    <cfRule type="iconSet" priority="6">
      <iconSet iconSet="3Arrows">
        <cfvo type="percentile" val="0"/>
        <cfvo type="num" val="-50"/>
        <cfvo type="num" val="50"/>
      </iconSet>
    </cfRule>
  </conditionalFormatting>
  <dataValidations count="11">
    <dataValidation allowBlank="1" showInputMessage="1" showErrorMessage="1" prompt="Total Projected, Actual, and Difference is auto calculated in this table" sqref="B2" xr:uid="{FCD04B21-8A74-49EE-B70E-2ECA769F6903}"/>
    <dataValidation allowBlank="1" showInputMessage="1" showErrorMessage="1" prompt="Balance is in this column under this heading" sqref="H17" xr:uid="{8E9E44B9-4898-4FA7-A688-41B3DB02C462}"/>
    <dataValidation allowBlank="1" showInputMessage="1" showErrorMessage="1" prompt="Balance table below is auto updated" sqref="H16" xr:uid="{C5A27050-7AE0-460E-B670-0ACB6E3517D7}"/>
    <dataValidation allowBlank="1" showInputMessage="1" showErrorMessage="1" prompt="Enter Actual Monthly Income Source in this column under this heading" sqref="H11" xr:uid="{C0AEFD10-D6A2-4703-9C91-EE3B7EB0A3E4}"/>
    <dataValidation allowBlank="1" showInputMessage="1" showErrorMessage="1" prompt="Enter details in Actual Monthly Income table below" sqref="H10" xr:uid="{46966C0D-DEE3-43FD-98AF-7CFCBE1444AA}"/>
    <dataValidation allowBlank="1" showInputMessage="1" showErrorMessage="1" prompt="Enter Projected Monthly Income Source in this column under this heading" sqref="H5" xr:uid="{4DF21643-46C3-4088-A58B-79977BA7E5C1}"/>
    <dataValidation allowBlank="1" showInputMessage="1" showErrorMessage="1" prompt="Total Difference is auto calculated in cell below" sqref="E2" xr:uid="{434F1D85-5898-4A18-B08F-996539F66AFC}"/>
    <dataValidation allowBlank="1" showInputMessage="1" showErrorMessage="1" prompt="Total Actual Cost is auto calculated in cell below" sqref="D2" xr:uid="{4A0C4EA5-8E71-4A57-A625-1B46357BEFD1}"/>
    <dataValidation allowBlank="1" showInputMessage="1" showErrorMessage="1" prompt="Total Projected Cost is auto calculated in cell below" sqref="C2" xr:uid="{AC12C2BB-6D5B-4A02-B818-DA01ECB6863B}"/>
    <dataValidation allowBlank="1" showInputMessage="1" showErrorMessage="1" prompt="Title of this worksheet is in this cell. Summary is in table below. Sample expense categories are in separate tables starting in B5. Enter income amounts starting in cell G2" sqref="B1" xr:uid="{6A031296-1AD0-4474-9217-68F65282C79B}"/>
    <dataValidation allowBlank="1" showInputMessage="1" showErrorMessage="1" prompt="Create a Family Budget Planner in this worksheet. Enter details in tables. Total Projected and Actual Costs, Projected and Actual Balance, and Difference are auto calculated" sqref="A1" xr:uid="{36349983-6B30-4EDA-BB2E-C945980BE232}"/>
  </dataValidations>
  <printOptions horizontalCentered="1"/>
  <pageMargins left="0.23622047244094491" right="0.23622047244094491" top="0.51181102362204722" bottom="0.51181102362204722" header="0.51181102362204722" footer="0.51181102362204722"/>
  <pageSetup scale="60" orientation="landscape" r:id="rId1"/>
  <headerFooter alignWithMargins="0"/>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4EA7-6594-4F53-8A22-0FAD8E57BC16}">
  <sheetPr>
    <tabColor theme="2" tint="-9.9978637043366805E-2"/>
  </sheetPr>
  <dimension ref="B1:L74"/>
  <sheetViews>
    <sheetView topLeftCell="A9" zoomScale="70" zoomScaleNormal="70" workbookViewId="0">
      <selection activeCell="I36" sqref="I36"/>
    </sheetView>
  </sheetViews>
  <sheetFormatPr defaultColWidth="9" defaultRowHeight="13.9"/>
  <cols>
    <col min="1" max="1" width="2.375" style="12" customWidth="1"/>
    <col min="2" max="2" width="29.75" style="12" bestFit="1" customWidth="1"/>
    <col min="3" max="3" width="13.5" style="12" bestFit="1" customWidth="1"/>
    <col min="4" max="4" width="10.25" style="12" bestFit="1" customWidth="1"/>
    <col min="5" max="5" width="14.875" style="66" bestFit="1" customWidth="1"/>
    <col min="6" max="6" width="14.25" style="12" bestFit="1" customWidth="1"/>
    <col min="7" max="7" width="5.5" style="12" customWidth="1"/>
    <col min="8" max="8" width="28.125" style="12" bestFit="1" customWidth="1"/>
    <col min="9" max="9" width="13.5" style="12" bestFit="1" customWidth="1"/>
    <col min="10" max="10" width="10.25" style="12" bestFit="1" customWidth="1"/>
    <col min="11" max="11" width="12.875" style="12" bestFit="1" customWidth="1"/>
    <col min="12" max="12" width="14.25" style="12" bestFit="1" customWidth="1"/>
    <col min="13" max="16384" width="9" style="12"/>
  </cols>
  <sheetData>
    <row r="1" spans="2:12" ht="15" customHeight="1">
      <c r="B1" s="56"/>
      <c r="C1" s="56"/>
      <c r="D1" s="56"/>
      <c r="E1" s="74"/>
      <c r="F1" s="75"/>
      <c r="G1" s="56"/>
      <c r="H1" s="56"/>
      <c r="I1" s="56"/>
      <c r="J1" s="56"/>
    </row>
    <row r="2" spans="2:12" ht="15" customHeight="1">
      <c r="B2" s="22" t="s">
        <v>13</v>
      </c>
      <c r="C2" s="21" t="s">
        <v>9</v>
      </c>
      <c r="D2" s="21" t="s">
        <v>10</v>
      </c>
      <c r="E2" s="57" t="s">
        <v>37</v>
      </c>
      <c r="F2" s="21" t="s">
        <v>11</v>
      </c>
      <c r="G2" s="56"/>
      <c r="H2" s="22" t="s">
        <v>29</v>
      </c>
      <c r="I2" s="21" t="s">
        <v>9</v>
      </c>
      <c r="J2" s="21" t="s">
        <v>10</v>
      </c>
      <c r="K2" s="63" t="s">
        <v>37</v>
      </c>
      <c r="L2" s="21" t="s">
        <v>11</v>
      </c>
    </row>
    <row r="3" spans="2:12" ht="15" customHeight="1">
      <c r="B3" s="18" t="s">
        <v>38</v>
      </c>
      <c r="C3" s="17"/>
      <c r="D3" s="17"/>
      <c r="E3" s="58"/>
      <c r="F3" s="17">
        <f>Housing102115128141154167[[#This Row],[Budgeted
cost]]-Housing102115128141154167[[#This Row],[Actual
cost]]</f>
        <v>0</v>
      </c>
      <c r="G3" s="56"/>
      <c r="H3" s="18" t="s">
        <v>39</v>
      </c>
      <c r="I3" s="17"/>
      <c r="J3" s="17"/>
      <c r="K3" s="58"/>
      <c r="L3" s="17">
        <f>Savings92105118131144157[[#This Row],[Budgeted
cost]]-Savings92105118131144157[[#This Row],[Actual
cost]]</f>
        <v>0</v>
      </c>
    </row>
    <row r="4" spans="2:12" ht="15" customHeight="1">
      <c r="B4" s="18" t="s">
        <v>40</v>
      </c>
      <c r="C4" s="17"/>
      <c r="D4" s="17"/>
      <c r="E4" s="58"/>
      <c r="F4" s="17">
        <f>Housing102115128141154167[[#This Row],[Budgeted
cost]]-Housing102115128141154167[[#This Row],[Actual
cost]]</f>
        <v>0</v>
      </c>
      <c r="G4" s="56"/>
      <c r="H4" s="18" t="s">
        <v>41</v>
      </c>
      <c r="I4" s="17"/>
      <c r="J4" s="17"/>
      <c r="K4" s="58"/>
      <c r="L4" s="17">
        <f>Savings92105118131144157[[#This Row],[Budgeted
cost]]-Savings92105118131144157[[#This Row],[Actual
cost]]</f>
        <v>0</v>
      </c>
    </row>
    <row r="5" spans="2:12" ht="15" customHeight="1">
      <c r="B5" s="18" t="s">
        <v>42</v>
      </c>
      <c r="C5" s="17"/>
      <c r="D5" s="17"/>
      <c r="E5" s="58"/>
      <c r="F5" s="17">
        <f>Housing102115128141154167[[#This Row],[Budgeted
cost]]-Housing102115128141154167[[#This Row],[Actual
cost]]</f>
        <v>0</v>
      </c>
      <c r="G5" s="56"/>
      <c r="H5" s="18" t="s">
        <v>43</v>
      </c>
      <c r="I5" s="17"/>
      <c r="J5" s="17"/>
      <c r="K5" s="58"/>
      <c r="L5" s="17">
        <f>Savings92105118131144157[[#This Row],[Budgeted
cost]]-Savings92105118131144157[[#This Row],[Actual
cost]]</f>
        <v>0</v>
      </c>
    </row>
    <row r="6" spans="2:12" ht="15" customHeight="1">
      <c r="B6" s="18" t="s">
        <v>44</v>
      </c>
      <c r="C6" s="17"/>
      <c r="D6" s="17"/>
      <c r="E6" s="58"/>
      <c r="F6" s="17">
        <f>Housing102115128141154167[[#This Row],[Budgeted
cost]]-Housing102115128141154167[[#This Row],[Actual
cost]]</f>
        <v>0</v>
      </c>
      <c r="G6" s="56"/>
      <c r="H6" s="18" t="s">
        <v>45</v>
      </c>
      <c r="I6" s="17"/>
      <c r="J6" s="17"/>
      <c r="K6" s="58"/>
      <c r="L6" s="17">
        <f>Savings92105118131144157[[#This Row],[Budgeted
cost]]-Savings92105118131144157[[#This Row],[Actual
cost]]</f>
        <v>0</v>
      </c>
    </row>
    <row r="7" spans="2:12" ht="15" customHeight="1">
      <c r="B7" s="18" t="s">
        <v>46</v>
      </c>
      <c r="C7" s="17"/>
      <c r="D7" s="17"/>
      <c r="E7" s="58"/>
      <c r="F7" s="17">
        <f>Housing102115128141154167[[#This Row],[Budgeted
cost]]-Housing102115128141154167[[#This Row],[Actual
cost]]</f>
        <v>0</v>
      </c>
      <c r="G7" s="56"/>
      <c r="H7" s="18" t="s">
        <v>47</v>
      </c>
      <c r="I7" s="17"/>
      <c r="J7" s="17"/>
      <c r="K7" s="58"/>
      <c r="L7" s="17">
        <f>Savings92105118131144157[[#This Row],[Budgeted
cost]]-Savings92105118131144157[[#This Row],[Actual
cost]]</f>
        <v>0</v>
      </c>
    </row>
    <row r="8" spans="2:12" ht="15" customHeight="1">
      <c r="B8" s="18" t="s">
        <v>48</v>
      </c>
      <c r="C8" s="17"/>
      <c r="D8" s="17"/>
      <c r="E8" s="58"/>
      <c r="F8" s="17">
        <f>Housing102115128141154167[[#This Row],[Budgeted
cost]]-Housing102115128141154167[[#This Row],[Actual
cost]]</f>
        <v>0</v>
      </c>
      <c r="G8" s="56"/>
      <c r="H8" s="18" t="s">
        <v>49</v>
      </c>
      <c r="I8" s="17"/>
      <c r="J8" s="17"/>
      <c r="K8" s="58"/>
      <c r="L8" s="17">
        <f>Savings92105118131144157[[#This Row],[Budgeted
cost]]-Savings92105118131144157[[#This Row],[Actual
cost]]</f>
        <v>0</v>
      </c>
    </row>
    <row r="9" spans="2:12" ht="15" customHeight="1">
      <c r="B9" s="18" t="s">
        <v>50</v>
      </c>
      <c r="C9" s="17"/>
      <c r="D9" s="17"/>
      <c r="E9" s="58"/>
      <c r="F9" s="17">
        <f>Housing102115128141154167[[#This Row],[Budgeted
cost]]-Housing102115128141154167[[#This Row],[Actual
cost]]</f>
        <v>0</v>
      </c>
      <c r="G9" s="56"/>
      <c r="H9" s="18" t="s">
        <v>49</v>
      </c>
      <c r="I9" s="17"/>
      <c r="J9" s="17"/>
      <c r="K9" s="58"/>
      <c r="L9" s="17">
        <f>Savings92105118131144157[[#This Row],[Budgeted
cost]]-Savings92105118131144157[[#This Row],[Actual
cost]]</f>
        <v>0</v>
      </c>
    </row>
    <row r="10" spans="2:12" ht="15" customHeight="1">
      <c r="B10" s="18" t="s">
        <v>51</v>
      </c>
      <c r="C10" s="17"/>
      <c r="D10" s="17"/>
      <c r="E10" s="58"/>
      <c r="F10" s="17">
        <f>Housing102115128141154167[[#This Row],[Budgeted
cost]]-Housing102115128141154167[[#This Row],[Actual
cost]]</f>
        <v>0</v>
      </c>
      <c r="G10" s="56"/>
      <c r="H10" s="18" t="s">
        <v>31</v>
      </c>
      <c r="I10" s="19">
        <f>SUBTOTAL(109,Savings92105118131144157[Budgeted
cost])</f>
        <v>0</v>
      </c>
      <c r="J10" s="19">
        <f>SUBTOTAL(109,Savings92105118131144157[Actual
cost])</f>
        <v>0</v>
      </c>
      <c r="K10" s="61"/>
      <c r="L10" s="19">
        <f>SUBTOTAL(109,Savings92105118131144157[Difference])</f>
        <v>0</v>
      </c>
    </row>
    <row r="11" spans="2:12" ht="15" customHeight="1">
      <c r="B11" s="18" t="s">
        <v>52</v>
      </c>
      <c r="C11" s="17"/>
      <c r="D11" s="17"/>
      <c r="E11" s="58"/>
      <c r="F11" s="17">
        <f>Housing102115128141154167[[#This Row],[Budgeted
cost]]-Housing102115128141154167[[#This Row],[Actual
cost]]</f>
        <v>0</v>
      </c>
      <c r="G11" s="56"/>
      <c r="H11" s="56"/>
      <c r="I11" s="56"/>
      <c r="J11" s="56"/>
    </row>
    <row r="12" spans="2:12" ht="15" customHeight="1">
      <c r="B12" s="18" t="s">
        <v>49</v>
      </c>
      <c r="C12" s="17"/>
      <c r="D12" s="17"/>
      <c r="E12" s="58"/>
      <c r="F12" s="17">
        <f>Housing102115128141154167[[#This Row],[Budgeted
cost]]-Housing102115128141154167[[#This Row],[Actual
cost]]</f>
        <v>0</v>
      </c>
      <c r="G12" s="56"/>
    </row>
    <row r="13" spans="2:12" ht="15" customHeight="1">
      <c r="B13" s="18" t="s">
        <v>31</v>
      </c>
      <c r="C13" s="19">
        <f>SUBTOTAL(109,Housing102115128141154167[Budgeted
cost])</f>
        <v>0</v>
      </c>
      <c r="D13" s="19">
        <f>SUBTOTAL(109,Housing102115128141154167[Actual
cost])</f>
        <v>0</v>
      </c>
      <c r="E13"/>
      <c r="F13" s="19">
        <f>SUBTOTAL(109,Housing102115128141154167[Difference])</f>
        <v>0</v>
      </c>
      <c r="G13" s="56"/>
    </row>
    <row r="14" spans="2:12" ht="15" customHeight="1">
      <c r="B14" s="56"/>
      <c r="C14" s="56"/>
      <c r="D14" s="56"/>
      <c r="E14" s="74"/>
      <c r="F14" s="75"/>
      <c r="G14" s="56"/>
    </row>
    <row r="15" spans="2:12" ht="27.6">
      <c r="B15" s="22" t="s">
        <v>15</v>
      </c>
      <c r="C15" s="21" t="s">
        <v>9</v>
      </c>
      <c r="D15" s="21" t="s">
        <v>10</v>
      </c>
      <c r="E15" s="60" t="s">
        <v>37</v>
      </c>
      <c r="F15" s="21" t="s">
        <v>11</v>
      </c>
      <c r="G15" s="13"/>
      <c r="H15" s="22" t="s">
        <v>23</v>
      </c>
      <c r="I15" s="21" t="s">
        <v>9</v>
      </c>
      <c r="J15" s="23" t="s">
        <v>10</v>
      </c>
      <c r="K15" s="63" t="s">
        <v>37</v>
      </c>
      <c r="L15" s="21" t="s">
        <v>11</v>
      </c>
    </row>
    <row r="16" spans="2:12">
      <c r="B16" s="18" t="s">
        <v>53</v>
      </c>
      <c r="C16" s="17"/>
      <c r="D16" s="17"/>
      <c r="E16" s="58"/>
      <c r="F16" s="17">
        <f>Transportation101114127140153166[[#This Row],[Budgeted
cost]]-Transportation101114127140153166[[#This Row],[Actual
cost]]</f>
        <v>0</v>
      </c>
      <c r="G16" s="13"/>
      <c r="H16" s="18" t="s">
        <v>54</v>
      </c>
      <c r="I16" s="17"/>
      <c r="J16" s="17"/>
      <c r="K16" s="58"/>
      <c r="L16" s="17">
        <f>PersonalCare96109122135148161[[#This Row],[Budgeted
cost]]-PersonalCare96109122135148161[[#This Row],[Actual
cost]]</f>
        <v>0</v>
      </c>
    </row>
    <row r="17" spans="2:12">
      <c r="B17" s="18" t="s">
        <v>55</v>
      </c>
      <c r="C17" s="17"/>
      <c r="D17" s="17"/>
      <c r="E17" s="58"/>
      <c r="F17" s="17">
        <f>Transportation101114127140153166[[#This Row],[Budgeted
cost]]-Transportation101114127140153166[[#This Row],[Actual
cost]]</f>
        <v>0</v>
      </c>
      <c r="G17" s="13"/>
      <c r="H17" s="18" t="s">
        <v>56</v>
      </c>
      <c r="I17" s="17"/>
      <c r="J17" s="17"/>
      <c r="K17" s="58"/>
      <c r="L17" s="17">
        <f>PersonalCare96109122135148161[[#This Row],[Budgeted
cost]]-PersonalCare96109122135148161[[#This Row],[Actual
cost]]</f>
        <v>0</v>
      </c>
    </row>
    <row r="18" spans="2:12">
      <c r="B18" s="18" t="s">
        <v>57</v>
      </c>
      <c r="C18" s="17"/>
      <c r="D18" s="17"/>
      <c r="E18" s="58"/>
      <c r="F18" s="17">
        <f>Transportation101114127140153166[[#This Row],[Budgeted
cost]]-Transportation101114127140153166[[#This Row],[Actual
cost]]</f>
        <v>0</v>
      </c>
      <c r="G18" s="13"/>
      <c r="H18" s="18" t="s">
        <v>58</v>
      </c>
      <c r="I18" s="17"/>
      <c r="J18" s="17"/>
      <c r="K18" s="58"/>
      <c r="L18" s="17">
        <f>PersonalCare96109122135148161[[#This Row],[Budgeted
cost]]-PersonalCare96109122135148161[[#This Row],[Actual
cost]]</f>
        <v>0</v>
      </c>
    </row>
    <row r="19" spans="2:12">
      <c r="B19" s="18" t="s">
        <v>18</v>
      </c>
      <c r="C19" s="17"/>
      <c r="D19" s="17"/>
      <c r="E19" s="58"/>
      <c r="F19" s="17">
        <f>Transportation101114127140153166[[#This Row],[Budgeted
cost]]-Transportation101114127140153166[[#This Row],[Actual
cost]]</f>
        <v>0</v>
      </c>
      <c r="G19" s="13"/>
      <c r="H19" s="18" t="s">
        <v>59</v>
      </c>
      <c r="I19" s="17"/>
      <c r="J19" s="17"/>
      <c r="K19" s="58"/>
      <c r="L19" s="17">
        <f>PersonalCare96109122135148161[[#This Row],[Budgeted
cost]]-PersonalCare96109122135148161[[#This Row],[Actual
cost]]</f>
        <v>0</v>
      </c>
    </row>
    <row r="20" spans="2:12">
      <c r="B20" s="18" t="s">
        <v>60</v>
      </c>
      <c r="C20" s="17"/>
      <c r="D20" s="17"/>
      <c r="E20" s="58"/>
      <c r="F20" s="17">
        <f>Transportation101114127140153166[[#This Row],[Budgeted
cost]]-Transportation101114127140153166[[#This Row],[Actual
cost]]</f>
        <v>0</v>
      </c>
      <c r="G20" s="13"/>
      <c r="H20" s="18" t="s">
        <v>61</v>
      </c>
      <c r="I20" s="17"/>
      <c r="J20" s="17"/>
      <c r="K20" s="58"/>
      <c r="L20" s="17">
        <f>PersonalCare96109122135148161[[#This Row],[Budgeted
cost]]-PersonalCare96109122135148161[[#This Row],[Actual
cost]]</f>
        <v>0</v>
      </c>
    </row>
    <row r="21" spans="2:12">
      <c r="B21" s="18" t="s">
        <v>62</v>
      </c>
      <c r="C21" s="17"/>
      <c r="D21" s="17"/>
      <c r="E21" s="58"/>
      <c r="F21" s="17">
        <f>Transportation101114127140153166[[#This Row],[Budgeted
cost]]-Transportation101114127140153166[[#This Row],[Actual
cost]]</f>
        <v>0</v>
      </c>
      <c r="G21" s="13"/>
      <c r="H21" s="18" t="s">
        <v>63</v>
      </c>
      <c r="I21" s="17"/>
      <c r="J21" s="17"/>
      <c r="K21" s="58"/>
      <c r="L21" s="17">
        <f>PersonalCare96109122135148161[[#This Row],[Budgeted
cost]]-PersonalCare96109122135148161[[#This Row],[Actual
cost]]</f>
        <v>0</v>
      </c>
    </row>
    <row r="22" spans="2:12">
      <c r="B22" s="18" t="s">
        <v>64</v>
      </c>
      <c r="C22" s="17"/>
      <c r="D22" s="17"/>
      <c r="E22" s="58"/>
      <c r="F22" s="17">
        <f>Transportation101114127140153166[[#This Row],[Budgeted
cost]]-Transportation101114127140153166[[#This Row],[Actual
cost]]</f>
        <v>0</v>
      </c>
      <c r="G22" s="13"/>
      <c r="H22" s="18" t="s">
        <v>49</v>
      </c>
      <c r="I22" s="17"/>
      <c r="J22" s="17"/>
      <c r="K22" s="58"/>
      <c r="L22" s="17">
        <f>PersonalCare96109122135148161[[#This Row],[Budgeted
cost]]-PersonalCare96109122135148161[[#This Row],[Actual
cost]]</f>
        <v>0</v>
      </c>
    </row>
    <row r="23" spans="2:12">
      <c r="B23" s="18" t="s">
        <v>49</v>
      </c>
      <c r="C23" s="17"/>
      <c r="D23" s="17"/>
      <c r="E23" s="58"/>
      <c r="F23" s="17">
        <f>Transportation101114127140153166[[#This Row],[Budgeted
cost]]-Transportation101114127140153166[[#This Row],[Actual
cost]]</f>
        <v>0</v>
      </c>
      <c r="G23" s="13"/>
      <c r="H23" s="18" t="s">
        <v>49</v>
      </c>
      <c r="I23" s="17"/>
      <c r="J23" s="17"/>
      <c r="K23" s="58"/>
      <c r="L23" s="17">
        <f>PersonalCare96109122135148161[[#This Row],[Budgeted
cost]]-PersonalCare96109122135148161[[#This Row],[Actual
cost]]</f>
        <v>0</v>
      </c>
    </row>
    <row r="24" spans="2:12">
      <c r="B24" s="18" t="s">
        <v>49</v>
      </c>
      <c r="C24" s="17"/>
      <c r="D24" s="17"/>
      <c r="E24" s="58"/>
      <c r="F24" s="17">
        <f>Transportation101114127140153166[[#This Row],[Budgeted
cost]]-Transportation101114127140153166[[#This Row],[Actual
cost]]</f>
        <v>0</v>
      </c>
      <c r="G24" s="13"/>
      <c r="H24" s="18" t="s">
        <v>31</v>
      </c>
      <c r="I24" s="19">
        <f>SUBTOTAL(109,PersonalCare96109122135148161[Budgeted
cost])</f>
        <v>0</v>
      </c>
      <c r="J24" s="19">
        <f>SUBTOTAL(109,PersonalCare96109122135148161[Actual
cost])</f>
        <v>0</v>
      </c>
      <c r="K24" s="61"/>
      <c r="L24" s="19">
        <f>SUBTOTAL(109,PersonalCare96109122135148161[Difference])</f>
        <v>0</v>
      </c>
    </row>
    <row r="25" spans="2:12">
      <c r="B25" s="18" t="s">
        <v>31</v>
      </c>
      <c r="C25" s="19">
        <f>SUBTOTAL(109,Transportation101114127140153166[Budgeted
cost])</f>
        <v>0</v>
      </c>
      <c r="D25" s="19">
        <f>SUBTOTAL(109,Transportation101114127140153166[Actual
cost])</f>
        <v>0</v>
      </c>
      <c r="E25" s="61"/>
      <c r="F25" s="19">
        <f>SUBTOTAL(109,Transportation101114127140153166[Difference])</f>
        <v>0</v>
      </c>
      <c r="G25" s="13"/>
    </row>
    <row r="26" spans="2:12" ht="17.45">
      <c r="B26" s="7"/>
      <c r="C26" s="6"/>
      <c r="D26" s="6"/>
      <c r="E26" s="62"/>
      <c r="F26" s="13"/>
    </row>
    <row r="27" spans="2:12" ht="27.6">
      <c r="B27" s="22" t="s">
        <v>18</v>
      </c>
      <c r="C27" s="21" t="s">
        <v>9</v>
      </c>
      <c r="D27" s="21" t="s">
        <v>10</v>
      </c>
      <c r="E27" s="63" t="s">
        <v>37</v>
      </c>
      <c r="F27" s="21" t="s">
        <v>11</v>
      </c>
      <c r="G27" s="13"/>
      <c r="H27" s="22" t="s">
        <v>27</v>
      </c>
      <c r="I27" s="21" t="s">
        <v>9</v>
      </c>
      <c r="J27" s="23" t="s">
        <v>10</v>
      </c>
      <c r="K27" s="63" t="s">
        <v>37</v>
      </c>
      <c r="L27" s="21" t="s">
        <v>11</v>
      </c>
    </row>
    <row r="28" spans="2:12">
      <c r="B28" s="18" t="s">
        <v>65</v>
      </c>
      <c r="C28" s="17"/>
      <c r="D28" s="17"/>
      <c r="E28" s="58"/>
      <c r="F28" s="17">
        <f>Insurance100113126139152165[[#This Row],[Budgeted
cost]]-Insurance100113126139152165[[#This Row],[Actual
cost]]</f>
        <v>0</v>
      </c>
      <c r="G28" s="13"/>
      <c r="H28" s="18" t="s">
        <v>20</v>
      </c>
      <c r="I28" s="17"/>
      <c r="J28" s="17"/>
      <c r="K28" s="58"/>
      <c r="L28" s="17">
        <f>Pets97110123136149162[[#This Row],[Budgeted
cost]]-Pets97110123136149162[[#This Row],[Actual
cost]]</f>
        <v>0</v>
      </c>
    </row>
    <row r="29" spans="2:12">
      <c r="B29" s="18" t="s">
        <v>66</v>
      </c>
      <c r="C29" s="17"/>
      <c r="D29" s="17"/>
      <c r="E29" s="58"/>
      <c r="F29" s="17">
        <f>Insurance100113126139152165[[#This Row],[Budgeted
cost]]-Insurance100113126139152165[[#This Row],[Actual
cost]]</f>
        <v>0</v>
      </c>
      <c r="G29" s="13"/>
      <c r="H29" s="18" t="s">
        <v>54</v>
      </c>
      <c r="I29" s="17"/>
      <c r="J29" s="17"/>
      <c r="K29" s="58"/>
      <c r="L29" s="17">
        <f>Pets97110123136149162[[#This Row],[Budgeted
cost]]-Pets97110123136149162[[#This Row],[Actual
cost]]</f>
        <v>0</v>
      </c>
    </row>
    <row r="30" spans="2:12">
      <c r="B30" s="18" t="s">
        <v>67</v>
      </c>
      <c r="C30" s="17"/>
      <c r="D30" s="17"/>
      <c r="E30" s="58"/>
      <c r="F30" s="17">
        <f>Insurance100113126139152165[[#This Row],[Budgeted
cost]]-Insurance100113126139152165[[#This Row],[Actual
cost]]</f>
        <v>0</v>
      </c>
      <c r="G30" s="13"/>
      <c r="H30" s="18" t="s">
        <v>68</v>
      </c>
      <c r="I30" s="17"/>
      <c r="J30" s="17"/>
      <c r="K30" s="58"/>
      <c r="L30" s="17">
        <f>Pets97110123136149162[[#This Row],[Budgeted
cost]]-Pets97110123136149162[[#This Row],[Actual
cost]]</f>
        <v>0</v>
      </c>
    </row>
    <row r="31" spans="2:12">
      <c r="B31" s="18" t="s">
        <v>49</v>
      </c>
      <c r="C31" s="17"/>
      <c r="D31" s="17"/>
      <c r="E31" s="58"/>
      <c r="F31" s="17">
        <f>Insurance100113126139152165[[#This Row],[Budgeted
cost]]-Insurance100113126139152165[[#This Row],[Actual
cost]]</f>
        <v>0</v>
      </c>
      <c r="G31" s="13"/>
      <c r="H31" s="18" t="s">
        <v>69</v>
      </c>
      <c r="I31" s="17"/>
      <c r="J31" s="17"/>
      <c r="K31" s="58"/>
      <c r="L31" s="17">
        <f>Pets97110123136149162[[#This Row],[Budgeted
cost]]-Pets97110123136149162[[#This Row],[Actual
cost]]</f>
        <v>0</v>
      </c>
    </row>
    <row r="32" spans="2:12">
      <c r="B32" s="18" t="s">
        <v>49</v>
      </c>
      <c r="C32" s="17"/>
      <c r="D32" s="17"/>
      <c r="E32" s="58"/>
      <c r="F32" s="17">
        <f>Insurance100113126139152165[[#This Row],[Budgeted
cost]]-Insurance100113126139152165[[#This Row],[Actual
cost]]</f>
        <v>0</v>
      </c>
      <c r="G32" s="13"/>
      <c r="H32" s="18" t="s">
        <v>49</v>
      </c>
      <c r="I32" s="17"/>
      <c r="J32" s="17"/>
      <c r="K32" s="58"/>
      <c r="L32" s="17">
        <f>Pets97110123136149162[[#This Row],[Budgeted
cost]]-Pets97110123136149162[[#This Row],[Actual
cost]]</f>
        <v>0</v>
      </c>
    </row>
    <row r="33" spans="2:12">
      <c r="B33" s="18" t="s">
        <v>31</v>
      </c>
      <c r="C33" s="19">
        <f>SUBTOTAL(109,Insurance100113126139152165[Budgeted
cost])</f>
        <v>0</v>
      </c>
      <c r="D33" s="19">
        <f>SUBTOTAL(109,Insurance100113126139152165[Actual
cost])</f>
        <v>0</v>
      </c>
      <c r="E33" s="61"/>
      <c r="F33" s="19">
        <f>SUBTOTAL(109,Insurance100113126139152165[Difference])</f>
        <v>0</v>
      </c>
      <c r="G33" s="13"/>
      <c r="H33" s="18" t="s">
        <v>31</v>
      </c>
      <c r="I33" s="19">
        <f>SUBTOTAL(109,Pets97110123136149162[Budgeted
cost])</f>
        <v>0</v>
      </c>
      <c r="J33" s="19">
        <f>SUBTOTAL(109,Pets97110123136149162[Actual
cost])</f>
        <v>0</v>
      </c>
      <c r="K33" s="64"/>
      <c r="L33" s="19">
        <f>SUBTOTAL(109,Pets97110123136149162[Difference])</f>
        <v>0</v>
      </c>
    </row>
    <row r="34" spans="2:12" ht="17.45">
      <c r="B34" s="7"/>
      <c r="C34" s="6"/>
      <c r="D34" s="6"/>
      <c r="E34" s="62"/>
      <c r="F34" s="13"/>
    </row>
    <row r="35" spans="2:12" ht="27.6">
      <c r="B35" s="22" t="s">
        <v>20</v>
      </c>
      <c r="C35" s="57" t="s">
        <v>9</v>
      </c>
      <c r="D35" s="21" t="s">
        <v>10</v>
      </c>
      <c r="E35" s="63" t="s">
        <v>37</v>
      </c>
      <c r="F35" s="21" t="s">
        <v>11</v>
      </c>
      <c r="H35" s="22" t="s">
        <v>21</v>
      </c>
      <c r="I35" s="21" t="s">
        <v>70</v>
      </c>
      <c r="J35" s="23" t="s">
        <v>71</v>
      </c>
      <c r="K35" s="63" t="s">
        <v>37</v>
      </c>
      <c r="L35" s="21" t="s">
        <v>11</v>
      </c>
    </row>
    <row r="36" spans="2:12">
      <c r="B36" s="18" t="s">
        <v>72</v>
      </c>
      <c r="C36" s="17"/>
      <c r="D36" s="17"/>
      <c r="E36" s="58"/>
      <c r="F36" s="17">
        <f>Food99112125138151164[[#This Row],[Budgeted
cost]]-Food99112125138151164[[#This Row],[Actual
cost]]</f>
        <v>0</v>
      </c>
      <c r="H36" s="18" t="s">
        <v>73</v>
      </c>
      <c r="I36" s="17"/>
      <c r="J36" s="17"/>
      <c r="K36" s="58"/>
      <c r="L36" s="17">
        <f>Taxes93106119132145158[[#This Row],[Budgeted 
cost]]-Taxes93106119132145158[[#This Row],[Actual 
cost]]</f>
        <v>0</v>
      </c>
    </row>
    <row r="37" spans="2:12">
      <c r="B37" s="18" t="s">
        <v>74</v>
      </c>
      <c r="C37" s="17"/>
      <c r="D37" s="17"/>
      <c r="E37" s="58"/>
      <c r="F37" s="17">
        <f>Food99112125138151164[[#This Row],[Budgeted
cost]]-Food99112125138151164[[#This Row],[Actual
cost]]</f>
        <v>0</v>
      </c>
      <c r="G37" s="13"/>
      <c r="H37" s="18" t="s">
        <v>75</v>
      </c>
      <c r="I37" s="17"/>
      <c r="J37" s="17"/>
      <c r="K37" s="58"/>
      <c r="L37" s="17">
        <f>Taxes93106119132145158[[#This Row],[Budgeted 
cost]]-Taxes93106119132145158[[#This Row],[Actual 
cost]]</f>
        <v>0</v>
      </c>
    </row>
    <row r="38" spans="2:12">
      <c r="B38" s="18" t="s">
        <v>76</v>
      </c>
      <c r="C38" s="17"/>
      <c r="D38" s="17"/>
      <c r="E38" s="58"/>
      <c r="F38" s="17">
        <f>Food99112125138151164[[#This Row],[Budgeted
cost]]-Food99112125138151164[[#This Row],[Actual
cost]]</f>
        <v>0</v>
      </c>
      <c r="G38" s="13"/>
      <c r="H38" s="18" t="s">
        <v>49</v>
      </c>
      <c r="I38" s="17"/>
      <c r="J38" s="17"/>
      <c r="K38" s="58"/>
      <c r="L38" s="17">
        <f>Taxes93106119132145158[[#This Row],[Budgeted 
cost]]-Taxes93106119132145158[[#This Row],[Actual 
cost]]</f>
        <v>0</v>
      </c>
    </row>
    <row r="39" spans="2:12">
      <c r="B39" s="18" t="s">
        <v>49</v>
      </c>
      <c r="C39" s="17"/>
      <c r="D39" s="17"/>
      <c r="E39" s="58"/>
      <c r="F39" s="17">
        <f>Food99112125138151164[[#This Row],[Budgeted
cost]]-Food99112125138151164[[#This Row],[Actual
cost]]</f>
        <v>0</v>
      </c>
      <c r="G39" s="13"/>
      <c r="H39" s="18" t="s">
        <v>49</v>
      </c>
      <c r="I39" s="17"/>
      <c r="J39" s="17"/>
      <c r="K39" s="58"/>
      <c r="L39" s="17">
        <f>Taxes93106119132145158[[#This Row],[Budgeted 
cost]]-Taxes93106119132145158[[#This Row],[Actual 
cost]]</f>
        <v>0</v>
      </c>
    </row>
    <row r="40" spans="2:12">
      <c r="B40" s="18" t="s">
        <v>49</v>
      </c>
      <c r="C40" s="17"/>
      <c r="D40" s="17"/>
      <c r="E40" s="58"/>
      <c r="F40" s="17">
        <f>Food99112125138151164[[#This Row],[Budgeted
cost]]-Food99112125138151164[[#This Row],[Actual
cost]]</f>
        <v>0</v>
      </c>
      <c r="G40" s="13"/>
      <c r="H40" s="18" t="s">
        <v>31</v>
      </c>
      <c r="I40" s="19">
        <f>SUBTOTAL(109,Taxes93106119132145158[Budgeted 
cost])</f>
        <v>0</v>
      </c>
      <c r="J40" s="19">
        <f>SUBTOTAL(109,Taxes93106119132145158[Actual 
cost])</f>
        <v>0</v>
      </c>
      <c r="K40" s="61"/>
      <c r="L40" s="19">
        <f>SUBTOTAL(109,Taxes93106119132145158[Difference])</f>
        <v>0</v>
      </c>
    </row>
    <row r="41" spans="2:12" ht="15">
      <c r="B41" s="18" t="s">
        <v>31</v>
      </c>
      <c r="C41" s="19">
        <f>SUBTOTAL(109,Food99112125138151164[Budgeted
cost])</f>
        <v>0</v>
      </c>
      <c r="D41" s="19">
        <f>SUBTOTAL(109,Food99112125138151164[Actual
cost])</f>
        <v>0</v>
      </c>
      <c r="E41" s="61"/>
      <c r="F41" s="19">
        <f>SUBTOTAL(109,Food99112125138151164[Difference])</f>
        <v>0</v>
      </c>
      <c r="G41" s="13"/>
      <c r="H41" s="3"/>
      <c r="I41" s="4"/>
      <c r="J41" s="4"/>
      <c r="K41" s="65"/>
    </row>
    <row r="42" spans="2:12" ht="24.6">
      <c r="B42" s="5"/>
      <c r="C42" s="6"/>
      <c r="D42" s="6"/>
      <c r="E42" s="62"/>
      <c r="F42" s="13"/>
      <c r="G42" s="13"/>
      <c r="I42" s="20"/>
      <c r="J42" s="20"/>
      <c r="K42" s="59"/>
    </row>
    <row r="43" spans="2:12" ht="27.6">
      <c r="B43" s="22" t="s">
        <v>22</v>
      </c>
      <c r="C43" s="21" t="s">
        <v>9</v>
      </c>
      <c r="D43" s="21" t="s">
        <v>10</v>
      </c>
      <c r="E43" s="63" t="s">
        <v>37</v>
      </c>
      <c r="F43" s="21" t="s">
        <v>11</v>
      </c>
      <c r="G43" s="13"/>
      <c r="H43" s="22" t="s">
        <v>16</v>
      </c>
      <c r="I43" s="21" t="s">
        <v>9</v>
      </c>
      <c r="J43" s="23" t="s">
        <v>10</v>
      </c>
      <c r="K43" s="63" t="s">
        <v>37</v>
      </c>
      <c r="L43" s="21" t="s">
        <v>11</v>
      </c>
    </row>
    <row r="44" spans="2:12">
      <c r="B44" s="18" t="s">
        <v>54</v>
      </c>
      <c r="C44" s="17"/>
      <c r="D44" s="17"/>
      <c r="E44" s="58"/>
      <c r="F44" s="17">
        <f>Children98111124137150163[[#This Row],[Budgeted
cost]]-Children98111124137150163[[#This Row],[Actual
cost]]</f>
        <v>0</v>
      </c>
      <c r="H44" s="18" t="s">
        <v>77</v>
      </c>
      <c r="I44" s="17"/>
      <c r="J44" s="17"/>
      <c r="K44" s="58"/>
      <c r="L44" s="17">
        <f>Loans94107120133146159[[#This Row],[Budgeted
cost]]-Loans94107120133146159[[#This Row],[Actual
cost]]</f>
        <v>0</v>
      </c>
    </row>
    <row r="45" spans="2:12">
      <c r="B45" s="18" t="s">
        <v>58</v>
      </c>
      <c r="C45" s="17"/>
      <c r="D45" s="17"/>
      <c r="E45" s="58"/>
      <c r="F45" s="17">
        <f>Children98111124137150163[[#This Row],[Budgeted
cost]]-Children98111124137150163[[#This Row],[Actual
cost]]</f>
        <v>0</v>
      </c>
      <c r="G45" s="13"/>
      <c r="H45" s="18" t="s">
        <v>78</v>
      </c>
      <c r="I45" s="17"/>
      <c r="J45" s="17"/>
      <c r="K45" s="58"/>
      <c r="L45" s="17">
        <f>Loans94107120133146159[[#This Row],[Budgeted
cost]]-Loans94107120133146159[[#This Row],[Actual
cost]]</f>
        <v>0</v>
      </c>
    </row>
    <row r="46" spans="2:12">
      <c r="B46" s="18" t="s">
        <v>79</v>
      </c>
      <c r="C46" s="17"/>
      <c r="D46" s="17"/>
      <c r="E46" s="58"/>
      <c r="F46" s="17">
        <f>Children98111124137150163[[#This Row],[Budgeted
cost]]-Children98111124137150163[[#This Row],[Actual
cost]]</f>
        <v>0</v>
      </c>
      <c r="G46" s="13"/>
      <c r="H46" s="18" t="s">
        <v>80</v>
      </c>
      <c r="I46" s="17"/>
      <c r="J46" s="17"/>
      <c r="K46" s="58"/>
      <c r="L46" s="17">
        <f>Loans94107120133146159[[#This Row],[Budgeted
cost]]-Loans94107120133146159[[#This Row],[Actual
cost]]</f>
        <v>0</v>
      </c>
    </row>
    <row r="47" spans="2:12">
      <c r="B47" s="18" t="s">
        <v>81</v>
      </c>
      <c r="C47" s="17"/>
      <c r="D47" s="17"/>
      <c r="E47" s="58"/>
      <c r="F47" s="17">
        <f>Children98111124137150163[[#This Row],[Budgeted
cost]]-Children98111124137150163[[#This Row],[Actual
cost]]</f>
        <v>0</v>
      </c>
      <c r="G47" s="13"/>
      <c r="H47" s="18" t="s">
        <v>80</v>
      </c>
      <c r="I47" s="17"/>
      <c r="J47" s="17"/>
      <c r="K47" s="58"/>
      <c r="L47" s="17">
        <f>Loans94107120133146159[[#This Row],[Budgeted
cost]]-Loans94107120133146159[[#This Row],[Actual
cost]]</f>
        <v>0</v>
      </c>
    </row>
    <row r="48" spans="2:12">
      <c r="B48" s="18" t="s">
        <v>63</v>
      </c>
      <c r="C48" s="17"/>
      <c r="D48" s="17"/>
      <c r="E48" s="58"/>
      <c r="F48" s="17">
        <f>Children98111124137150163[[#This Row],[Budgeted
cost]]-Children98111124137150163[[#This Row],[Actual
cost]]</f>
        <v>0</v>
      </c>
      <c r="G48" s="13"/>
      <c r="H48" s="18" t="s">
        <v>80</v>
      </c>
      <c r="I48" s="17"/>
      <c r="J48" s="17"/>
      <c r="K48" s="58"/>
      <c r="L48" s="17">
        <f>Loans94107120133146159[[#This Row],[Budgeted
cost]]-Loans94107120133146159[[#This Row],[Actual
cost]]</f>
        <v>0</v>
      </c>
    </row>
    <row r="49" spans="2:12">
      <c r="B49" s="18" t="s">
        <v>82</v>
      </c>
      <c r="C49" s="17"/>
      <c r="D49" s="17"/>
      <c r="E49" s="58"/>
      <c r="F49" s="17">
        <f>Children98111124137150163[[#This Row],[Budgeted
cost]]-Children98111124137150163[[#This Row],[Actual
cost]]</f>
        <v>0</v>
      </c>
      <c r="G49" s="13"/>
      <c r="H49" s="18" t="s">
        <v>49</v>
      </c>
      <c r="I49" s="17"/>
      <c r="J49" s="17"/>
      <c r="K49" s="58"/>
      <c r="L49" s="17">
        <f>Loans94107120133146159[[#This Row],[Budgeted
cost]]-Loans94107120133146159[[#This Row],[Actual
cost]]</f>
        <v>0</v>
      </c>
    </row>
    <row r="50" spans="2:12">
      <c r="B50" s="18" t="s">
        <v>83</v>
      </c>
      <c r="C50" s="17"/>
      <c r="D50" s="17"/>
      <c r="E50" s="58"/>
      <c r="F50" s="17">
        <f>Children98111124137150163[[#This Row],[Budgeted
cost]]-Children98111124137150163[[#This Row],[Actual
cost]]</f>
        <v>0</v>
      </c>
      <c r="G50" s="13"/>
      <c r="H50" s="18" t="s">
        <v>49</v>
      </c>
      <c r="I50" s="17"/>
      <c r="J50" s="17"/>
      <c r="K50" s="58"/>
      <c r="L50" s="17">
        <f>Loans94107120133146159[[#This Row],[Budgeted
cost]]-Loans94107120133146159[[#This Row],[Actual
cost]]</f>
        <v>0</v>
      </c>
    </row>
    <row r="51" spans="2:12">
      <c r="B51" s="18" t="s">
        <v>84</v>
      </c>
      <c r="C51" s="17"/>
      <c r="D51" s="17"/>
      <c r="E51" s="58"/>
      <c r="F51" s="17">
        <f>Children98111124137150163[[#This Row],[Budgeted
cost]]-Children98111124137150163[[#This Row],[Actual
cost]]</f>
        <v>0</v>
      </c>
      <c r="G51" s="13"/>
      <c r="H51" s="18" t="s">
        <v>31</v>
      </c>
      <c r="I51" s="19">
        <f>SUBTOTAL(109,Loans94107120133146159[Budgeted
cost])</f>
        <v>0</v>
      </c>
      <c r="J51" s="19">
        <f>SUBTOTAL(109,Loans94107120133146159[Actual
cost])</f>
        <v>0</v>
      </c>
      <c r="K51" s="61"/>
      <c r="L51" s="19">
        <f>SUBTOTAL(109,Loans94107120133146159[Difference])</f>
        <v>0</v>
      </c>
    </row>
    <row r="52" spans="2:12">
      <c r="B52" s="18" t="s">
        <v>49</v>
      </c>
      <c r="C52" s="17"/>
      <c r="D52" s="17"/>
      <c r="E52" s="58"/>
      <c r="F52" s="17">
        <f>Children98111124137150163[[#This Row],[Budgeted
cost]]-Children98111124137150163[[#This Row],[Actual
cost]]</f>
        <v>0</v>
      </c>
      <c r="G52" s="13"/>
    </row>
    <row r="53" spans="2:12" ht="17.45">
      <c r="B53" s="18" t="s">
        <v>49</v>
      </c>
      <c r="C53" s="17"/>
      <c r="D53" s="17"/>
      <c r="E53" s="58"/>
      <c r="F53" s="17">
        <f>Children98111124137150163[[#This Row],[Budgeted
cost]]-Children98111124137150163[[#This Row],[Actual
cost]]</f>
        <v>0</v>
      </c>
      <c r="G53" s="13"/>
      <c r="H53" s="7"/>
      <c r="I53" s="6"/>
      <c r="J53" s="6"/>
      <c r="K53" s="62"/>
    </row>
    <row r="54" spans="2:12">
      <c r="B54" s="18" t="s">
        <v>31</v>
      </c>
      <c r="C54" s="19">
        <f>SUBTOTAL(109,Children98111124137150163[Budgeted
cost])</f>
        <v>0</v>
      </c>
      <c r="D54" s="19">
        <f>SUBTOTAL(109,Children98111124137150163[Actual
cost])</f>
        <v>0</v>
      </c>
      <c r="E54" s="61"/>
      <c r="F54" s="19">
        <f>SUBTOTAL(109,Children98111124137150163[Difference])</f>
        <v>0</v>
      </c>
      <c r="G54" s="13"/>
    </row>
    <row r="55" spans="2:12" ht="15">
      <c r="B55" s="5"/>
      <c r="C55" s="6"/>
      <c r="D55" s="6"/>
      <c r="E55" s="62"/>
      <c r="F55" s="13"/>
      <c r="G55" s="13"/>
    </row>
    <row r="56" spans="2:12" ht="27.6">
      <c r="B56" s="22" t="s">
        <v>25</v>
      </c>
      <c r="C56" s="21" t="s">
        <v>9</v>
      </c>
      <c r="D56" s="21" t="s">
        <v>10</v>
      </c>
      <c r="E56" s="63" t="s">
        <v>37</v>
      </c>
      <c r="F56" s="21" t="s">
        <v>11</v>
      </c>
      <c r="G56" s="14"/>
      <c r="H56" s="22" t="s">
        <v>30</v>
      </c>
      <c r="I56" s="21" t="s">
        <v>9</v>
      </c>
      <c r="J56" s="23" t="s">
        <v>10</v>
      </c>
      <c r="K56" s="63" t="s">
        <v>37</v>
      </c>
      <c r="L56" s="21" t="s">
        <v>11</v>
      </c>
    </row>
    <row r="57" spans="2:12">
      <c r="B57" s="18" t="s">
        <v>85</v>
      </c>
      <c r="C57" s="17"/>
      <c r="D57" s="17"/>
      <c r="E57" s="58"/>
      <c r="F57" s="17">
        <f>Legal90103116129142155[[#This Row],[Budgeted
cost]]-Legal90103116129142155[[#This Row],[Actual
cost]]</f>
        <v>0</v>
      </c>
      <c r="H57" s="18" t="s">
        <v>86</v>
      </c>
      <c r="I57" s="17"/>
      <c r="J57" s="17"/>
      <c r="K57" s="58"/>
      <c r="L57" s="17">
        <f>Gifts91104117130143156[[#This Row],[Budgeted
cost]]-Gifts91104117130143156[[#This Row],[Actual
cost]]</f>
        <v>0</v>
      </c>
    </row>
    <row r="58" spans="2:12">
      <c r="B58" s="18" t="s">
        <v>87</v>
      </c>
      <c r="C58" s="17"/>
      <c r="D58" s="17"/>
      <c r="E58" s="58"/>
      <c r="F58" s="17">
        <f>Legal90103116129142155[[#This Row],[Budgeted
cost]]-Legal90103116129142155[[#This Row],[Actual
cost]]</f>
        <v>0</v>
      </c>
      <c r="G58" s="13"/>
      <c r="H58" s="18" t="s">
        <v>88</v>
      </c>
      <c r="I58" s="17"/>
      <c r="J58" s="17"/>
      <c r="K58" s="58"/>
      <c r="L58" s="17">
        <f>Gifts91104117130143156[[#This Row],[Budgeted
cost]]-Gifts91104117130143156[[#This Row],[Actual
cost]]</f>
        <v>0</v>
      </c>
    </row>
    <row r="59" spans="2:12">
      <c r="B59" s="18" t="s">
        <v>89</v>
      </c>
      <c r="C59" s="17"/>
      <c r="D59" s="17"/>
      <c r="E59" s="58"/>
      <c r="F59" s="17">
        <f>Legal90103116129142155[[#This Row],[Budgeted
cost]]-Legal90103116129142155[[#This Row],[Actual
cost]]</f>
        <v>0</v>
      </c>
      <c r="G59" s="13"/>
      <c r="H59" s="18" t="s">
        <v>90</v>
      </c>
      <c r="I59" s="17"/>
      <c r="J59" s="17"/>
      <c r="K59" s="58"/>
      <c r="L59" s="17">
        <f>Gifts91104117130143156[[#This Row],[Budgeted
cost]]-Gifts91104117130143156[[#This Row],[Actual
cost]]</f>
        <v>0</v>
      </c>
    </row>
    <row r="60" spans="2:12">
      <c r="B60" s="18" t="s">
        <v>49</v>
      </c>
      <c r="C60" s="17"/>
      <c r="D60" s="17"/>
      <c r="E60" s="58"/>
      <c r="F60" s="17">
        <f>Legal90103116129142155[[#This Row],[Budgeted
cost]]-Legal90103116129142155[[#This Row],[Actual
cost]]</f>
        <v>0</v>
      </c>
      <c r="G60" s="13"/>
      <c r="H60" s="18" t="s">
        <v>31</v>
      </c>
      <c r="I60" s="19">
        <f>SUBTOTAL(109,Gifts91104117130143156[Budgeted
cost])</f>
        <v>0</v>
      </c>
      <c r="J60" s="19">
        <f>SUBTOTAL(109,Gifts91104117130143156[Actual
cost])</f>
        <v>0</v>
      </c>
      <c r="K60" s="64"/>
      <c r="L60" s="19">
        <f>SUBTOTAL(109,Gifts91104117130143156[Difference])</f>
        <v>0</v>
      </c>
    </row>
    <row r="61" spans="2:12">
      <c r="B61" s="18" t="s">
        <v>49</v>
      </c>
      <c r="C61" s="17"/>
      <c r="D61" s="17"/>
      <c r="E61" s="58"/>
      <c r="F61" s="17">
        <f>Legal90103116129142155[[#This Row],[Budgeted
cost]]-Legal90103116129142155[[#This Row],[Actual
cost]]</f>
        <v>0</v>
      </c>
      <c r="G61" s="13"/>
    </row>
    <row r="62" spans="2:12">
      <c r="B62" s="18" t="s">
        <v>31</v>
      </c>
      <c r="C62" s="19">
        <f>SUBTOTAL(109,Legal90103116129142155[Budgeted
cost])</f>
        <v>0</v>
      </c>
      <c r="D62" s="19">
        <f>SUBTOTAL(109,Legal90103116129142155[Actual
cost])</f>
        <v>0</v>
      </c>
      <c r="E62" s="61"/>
      <c r="F62" s="19">
        <f>SUBTOTAL(109,Legal90103116129142155[Difference])</f>
        <v>0</v>
      </c>
      <c r="G62" s="13"/>
    </row>
    <row r="63" spans="2:12" ht="24.6">
      <c r="E63" s="12"/>
      <c r="G63" s="15"/>
      <c r="I63" s="20"/>
      <c r="J63" s="20"/>
      <c r="K63" s="59"/>
    </row>
    <row r="64" spans="2:12" ht="27.6">
      <c r="B64" s="22" t="s">
        <v>19</v>
      </c>
      <c r="C64" s="21" t="s">
        <v>9</v>
      </c>
      <c r="D64" s="23" t="s">
        <v>10</v>
      </c>
      <c r="E64" s="63" t="s">
        <v>37</v>
      </c>
      <c r="F64" s="21" t="s">
        <v>11</v>
      </c>
      <c r="G64" s="14"/>
    </row>
    <row r="65" spans="2:10">
      <c r="B65" s="18" t="s">
        <v>91</v>
      </c>
      <c r="C65" s="17"/>
      <c r="D65" s="17"/>
      <c r="E65" s="58"/>
      <c r="F65" s="17">
        <f>Entertainment95108121134147160[[#This Row],[Budgeted
cost]]-Entertainment95108121134147160[[#This Row],[Actual
cost]]</f>
        <v>0</v>
      </c>
    </row>
    <row r="66" spans="2:10">
      <c r="B66" s="18" t="s">
        <v>92</v>
      </c>
      <c r="C66" s="17"/>
      <c r="D66" s="17"/>
      <c r="E66" s="58"/>
      <c r="F66" s="17">
        <f>Entertainment95108121134147160[[#This Row],[Budgeted
cost]]-Entertainment95108121134147160[[#This Row],[Actual
cost]]</f>
        <v>0</v>
      </c>
      <c r="G66" s="13"/>
    </row>
    <row r="67" spans="2:10">
      <c r="B67" s="18" t="s">
        <v>93</v>
      </c>
      <c r="C67" s="17"/>
      <c r="D67" s="17"/>
      <c r="E67" s="58"/>
      <c r="F67" s="17">
        <f>Entertainment95108121134147160[[#This Row],[Budgeted
cost]]-Entertainment95108121134147160[[#This Row],[Actual
cost]]</f>
        <v>0</v>
      </c>
      <c r="G67" s="13"/>
    </row>
    <row r="68" spans="2:10">
      <c r="B68" s="18" t="s">
        <v>94</v>
      </c>
      <c r="C68" s="17"/>
      <c r="D68" s="17"/>
      <c r="E68" s="58"/>
      <c r="F68" s="17">
        <f>Entertainment95108121134147160[[#This Row],[Budgeted
cost]]-Entertainment95108121134147160[[#This Row],[Actual
cost]]</f>
        <v>0</v>
      </c>
    </row>
    <row r="69" spans="2:10">
      <c r="B69" s="18" t="s">
        <v>95</v>
      </c>
      <c r="C69" s="17"/>
      <c r="D69" s="17"/>
      <c r="E69" s="58"/>
      <c r="F69" s="17">
        <f>Entertainment95108121134147160[[#This Row],[Budgeted
cost]]-Entertainment95108121134147160[[#This Row],[Actual
cost]]</f>
        <v>0</v>
      </c>
    </row>
    <row r="70" spans="2:10">
      <c r="B70" s="18" t="s">
        <v>96</v>
      </c>
      <c r="C70" s="17"/>
      <c r="D70" s="17"/>
      <c r="E70" s="58"/>
      <c r="F70" s="17">
        <f>Entertainment95108121134147160[[#This Row],[Budgeted
cost]]-Entertainment95108121134147160[[#This Row],[Actual
cost]]</f>
        <v>0</v>
      </c>
    </row>
    <row r="71" spans="2:10">
      <c r="B71" s="18" t="s">
        <v>49</v>
      </c>
      <c r="C71" s="17"/>
      <c r="D71" s="17"/>
      <c r="E71" s="58"/>
      <c r="F71" s="17">
        <f>Entertainment95108121134147160[[#This Row],[Budgeted
cost]]-Entertainment95108121134147160[[#This Row],[Actual
cost]]</f>
        <v>0</v>
      </c>
    </row>
    <row r="72" spans="2:10">
      <c r="B72" s="18" t="s">
        <v>31</v>
      </c>
      <c r="C72" s="19">
        <f>SUBTOTAL(109,Entertainment95108121134147160[Budgeted
cost])</f>
        <v>0</v>
      </c>
      <c r="D72" s="19">
        <f>SUBTOTAL(109,Entertainment95108121134147160[Actual
cost])</f>
        <v>0</v>
      </c>
      <c r="E72" s="64"/>
      <c r="F72" s="19">
        <f>SUBTOTAL(109,Entertainment95108121134147160[Difference])</f>
        <v>0</v>
      </c>
      <c r="J72" s="16"/>
    </row>
    <row r="73" spans="2:10">
      <c r="E73" s="12"/>
    </row>
    <row r="74" spans="2:10">
      <c r="E74" s="12"/>
    </row>
  </sheetData>
  <conditionalFormatting sqref="B1:B14 F1:F14 G1:G25 H3:L10 H16:L24 B16:F26 G27:G33 H28:L33 B28:F34 H36:L40 B36:F42 G37:G43 H41:K41 H44:L51 B44:F55 G45:G56 H53:K53 H57:L60 B57:F62 G58:G64 B65:F72 G66:G67">
    <cfRule type="cellIs" dxfId="649" priority="3" operator="lessThan">
      <formula>0</formula>
    </cfRule>
  </conditionalFormatting>
  <conditionalFormatting sqref="B3:F13">
    <cfRule type="cellIs" dxfId="648" priority="2" operator="lessThan">
      <formula>0</formula>
    </cfRule>
  </conditionalFormatting>
  <conditionalFormatting sqref="F3:F12">
    <cfRule type="iconSet" priority="1">
      <iconSet iconSet="3Arrows">
        <cfvo type="percentile" val="0"/>
        <cfvo type="num" val="-50"/>
        <cfvo type="num" val="50"/>
      </iconSet>
    </cfRule>
  </conditionalFormatting>
  <conditionalFormatting sqref="L28:L32 L57:L59 F65:F71 L36:L39 F16:F24 L44:L50 F28:F32 F36:F40 F44:F53 L16:L23 F57:F61 L3:L9">
    <cfRule type="iconSet" priority="4">
      <iconSet iconSet="3Arrows">
        <cfvo type="percentile" val="0"/>
        <cfvo type="num" val="-50"/>
        <cfvo type="num" val="50"/>
      </iconSet>
    </cfRule>
  </conditionalFormatting>
  <dataValidations count="1">
    <dataValidation allowBlank="1" showInputMessage="1" showErrorMessage="1" prompt="Enter details in Transportation table below and in Insurance table starting in cell B30" sqref="G1:G14 B1:B12 B14" xr:uid="{220B2D05-8FC7-4AF0-BC38-C062CC95159B}"/>
  </dataValidations>
  <pageMargins left="0.7" right="0.7" top="0.75" bottom="0.75" header="0.3" footer="0.3"/>
  <pageSetup orientation="landscape" horizontalDpi="1200" verticalDpi="1200" r:id="rId1"/>
  <headerFooter>
    <oddFooter>&amp;C&amp;P&amp;R&amp;G</oddFooter>
  </headerFooter>
  <legacyDrawingHF r:id="rId2"/>
  <tableParts count="13">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74372-B90F-408F-AB0A-24B6B8C37EB5}">
  <sheetPr>
    <tabColor theme="4"/>
  </sheetPr>
  <dimension ref="B1:J61"/>
  <sheetViews>
    <sheetView zoomScale="70" zoomScaleNormal="70" zoomScalePageLayoutView="70" workbookViewId="0">
      <selection activeCell="C3" sqref="C3:D3"/>
    </sheetView>
  </sheetViews>
  <sheetFormatPr defaultColWidth="9" defaultRowHeight="30" customHeight="1"/>
  <cols>
    <col min="1" max="1" width="1.25" customWidth="1"/>
    <col min="2" max="6" width="24.625" customWidth="1"/>
    <col min="7" max="7" width="7.75" customWidth="1"/>
    <col min="8" max="8" width="32.875" customWidth="1"/>
    <col min="9" max="9" width="32.875" style="2" customWidth="1"/>
    <col min="10" max="10" width="2.375" customWidth="1"/>
  </cols>
  <sheetData>
    <row r="1" spans="2:10" ht="77.25" customHeight="1">
      <c r="B1" s="113" t="s">
        <v>103</v>
      </c>
      <c r="C1" s="113"/>
      <c r="D1" s="113"/>
      <c r="E1" s="113"/>
      <c r="F1" s="113"/>
      <c r="G1" s="113"/>
      <c r="H1" s="113"/>
      <c r="I1" s="26"/>
      <c r="J1" s="27"/>
    </row>
    <row r="2" spans="2:10" ht="35.450000000000003">
      <c r="B2" s="54" t="s">
        <v>1</v>
      </c>
      <c r="C2" s="24" t="s">
        <v>2</v>
      </c>
      <c r="D2" s="55" t="s">
        <v>3</v>
      </c>
      <c r="E2" s="25" t="s">
        <v>4</v>
      </c>
      <c r="F2" s="1"/>
      <c r="H2" s="36"/>
      <c r="I2" s="26"/>
      <c r="J2" s="29"/>
    </row>
    <row r="3" spans="2:10" ht="35.450000000000003">
      <c r="B3" s="11"/>
      <c r="C3" s="76">
        <f>C19</f>
        <v>0</v>
      </c>
      <c r="D3" s="76">
        <f>D19</f>
        <v>0</v>
      </c>
      <c r="E3" s="78">
        <f>SUM(C3-D3)</f>
        <v>0</v>
      </c>
      <c r="F3" s="1"/>
      <c r="H3" s="36"/>
      <c r="I3" s="26"/>
      <c r="J3" s="29"/>
    </row>
    <row r="4" spans="2:10" ht="35.450000000000003">
      <c r="C4" s="33"/>
      <c r="D4" s="33"/>
      <c r="E4" s="33"/>
      <c r="F4" s="10"/>
      <c r="H4" s="36"/>
      <c r="I4" s="26"/>
      <c r="J4" s="29"/>
    </row>
    <row r="5" spans="2:10" ht="27.6">
      <c r="B5" s="79" t="s">
        <v>8</v>
      </c>
      <c r="C5" s="80" t="s">
        <v>9</v>
      </c>
      <c r="D5" s="80" t="s">
        <v>10</v>
      </c>
      <c r="E5" s="81" t="s">
        <v>11</v>
      </c>
      <c r="G5" s="10"/>
      <c r="H5" s="114" t="s">
        <v>33</v>
      </c>
      <c r="I5" s="115"/>
      <c r="J5" s="30"/>
    </row>
    <row r="6" spans="2:10" ht="15">
      <c r="B6" s="82" t="s">
        <v>13</v>
      </c>
      <c r="C6" s="83">
        <f>Housing[[#Totals],[Budgeted
cost]]</f>
        <v>0</v>
      </c>
      <c r="D6" s="83">
        <f>Housing[[#Totals],[Actual
cost]]</f>
        <v>0</v>
      </c>
      <c r="E6" s="84">
        <f>'August - Overview'!$C6-'August - Overview'!$D6</f>
        <v>0</v>
      </c>
      <c r="G6" s="10"/>
      <c r="H6" s="37" t="s">
        <v>6</v>
      </c>
      <c r="I6" s="38"/>
      <c r="J6" s="28"/>
    </row>
    <row r="7" spans="2:10" ht="15">
      <c r="B7" s="85" t="s">
        <v>15</v>
      </c>
      <c r="C7" s="73">
        <f>Transportation[[#Totals],[Budgeted
cost]]</f>
        <v>0</v>
      </c>
      <c r="D7" s="73">
        <f>Transportation[[#Totals],[Actual
cost]]</f>
        <v>0</v>
      </c>
      <c r="E7" s="86">
        <f>'August - Overview'!$C7-'August - Overview'!$D7</f>
        <v>0</v>
      </c>
      <c r="G7" s="10"/>
      <c r="H7" s="69" t="s">
        <v>7</v>
      </c>
      <c r="I7" s="71"/>
      <c r="J7" s="28"/>
    </row>
    <row r="8" spans="2:10" ht="15">
      <c r="B8" s="87" t="s">
        <v>16</v>
      </c>
      <c r="C8" s="72">
        <f>Loans[[#Totals],[Budgeted
cost]]</f>
        <v>0</v>
      </c>
      <c r="D8" s="72">
        <f>Loans[[#Totals],[Actual
cost]]</f>
        <v>0</v>
      </c>
      <c r="E8" s="88">
        <f>'August - Overview'!$C8-'August - Overview'!$D8</f>
        <v>0</v>
      </c>
      <c r="G8" s="10"/>
      <c r="H8" s="41" t="s">
        <v>12</v>
      </c>
      <c r="I8" s="38"/>
      <c r="J8" s="28"/>
    </row>
    <row r="9" spans="2:10" ht="17.45">
      <c r="B9" s="85" t="s">
        <v>18</v>
      </c>
      <c r="C9" s="73">
        <f>Insurance[[#Totals],[Budgeted
cost]]</f>
        <v>0</v>
      </c>
      <c r="D9" s="73">
        <f>Insurance[[#Totals],[Actual
cost]]</f>
        <v>0</v>
      </c>
      <c r="E9" s="86">
        <f>'August - Overview'!$C9-'August - Overview'!$D9</f>
        <v>0</v>
      </c>
      <c r="G9" s="10"/>
      <c r="H9" s="42" t="s">
        <v>14</v>
      </c>
      <c r="I9" s="43">
        <f>SUM(I6:I8)</f>
        <v>0</v>
      </c>
      <c r="J9" s="28"/>
    </row>
    <row r="10" spans="2:10" ht="15">
      <c r="B10" s="87" t="s">
        <v>19</v>
      </c>
      <c r="C10" s="72">
        <f>Entertainment[[#Totals],[Budgeted
cost]]</f>
        <v>0</v>
      </c>
      <c r="D10" s="72">
        <f>Entertainment[[#Totals],[Actual
cost]]</f>
        <v>0</v>
      </c>
      <c r="E10" s="88">
        <f>'August - Overview'!$C10-'August - Overview'!$D10</f>
        <v>0</v>
      </c>
      <c r="G10" s="10"/>
      <c r="H10" s="31"/>
      <c r="I10" s="31"/>
      <c r="J10" s="28"/>
    </row>
    <row r="11" spans="2:10" ht="24.6">
      <c r="B11" s="85" t="s">
        <v>20</v>
      </c>
      <c r="C11" s="94">
        <f>Food[[#Totals],[Budgeted
cost]]</f>
        <v>0</v>
      </c>
      <c r="D11" s="94">
        <f>Food[[#Totals],[Actual
cost]]</f>
        <v>0</v>
      </c>
      <c r="E11" s="95">
        <f>'August - Overview'!$C11-'August - Overview'!$D11</f>
        <v>0</v>
      </c>
      <c r="G11" s="10"/>
      <c r="H11" s="116" t="s">
        <v>34</v>
      </c>
      <c r="I11" s="117"/>
      <c r="J11" s="31"/>
    </row>
    <row r="12" spans="2:10" ht="15">
      <c r="B12" s="87" t="s">
        <v>21</v>
      </c>
      <c r="C12" s="96">
        <f>Taxes[[#Totals],[Budgeted 
cost]]</f>
        <v>0</v>
      </c>
      <c r="D12" s="96">
        <f>Taxes[[#Totals],[Actual 
cost]]</f>
        <v>0</v>
      </c>
      <c r="E12" s="97">
        <f>'August - Overview'!$C12-'August - Overview'!$D12</f>
        <v>0</v>
      </c>
      <c r="G12" s="10"/>
      <c r="H12" s="41" t="s">
        <v>6</v>
      </c>
      <c r="I12" s="44"/>
      <c r="J12" s="30"/>
    </row>
    <row r="13" spans="2:10" ht="15">
      <c r="B13" s="85" t="s">
        <v>22</v>
      </c>
      <c r="C13" s="98">
        <f>Children[[#Totals],[Budgeted
cost]]</f>
        <v>0</v>
      </c>
      <c r="D13" s="98">
        <f>Children[[#Totals],[Actual
cost]]</f>
        <v>0</v>
      </c>
      <c r="E13" s="99">
        <f>'August - Overview'!$C13-'August - Overview'!$D13</f>
        <v>0</v>
      </c>
      <c r="G13" s="10"/>
      <c r="H13" s="69" t="s">
        <v>7</v>
      </c>
      <c r="I13" s="70"/>
      <c r="J13" s="28"/>
    </row>
    <row r="14" spans="2:10" ht="15">
      <c r="B14" s="87" t="s">
        <v>23</v>
      </c>
      <c r="C14" s="100">
        <f>PersonalCare[[#Totals],[Budgeted
cost]]</f>
        <v>0</v>
      </c>
      <c r="D14" s="100">
        <f>PersonalCare[[#Totals],[Actual
cost]]</f>
        <v>0</v>
      </c>
      <c r="E14" s="101">
        <f>'August - Overview'!$C14-'August - Overview'!$D14</f>
        <v>0</v>
      </c>
      <c r="G14" s="10"/>
      <c r="H14" s="41" t="s">
        <v>12</v>
      </c>
      <c r="I14" s="44"/>
      <c r="J14" s="28"/>
    </row>
    <row r="15" spans="2:10" ht="17.45">
      <c r="B15" s="85" t="s">
        <v>25</v>
      </c>
      <c r="C15" s="94">
        <f>Legal[[#Totals],[Budgeted
cost]]</f>
        <v>0</v>
      </c>
      <c r="D15" s="94">
        <f>Legal[[#Totals],[Actual
cost]]</f>
        <v>0</v>
      </c>
      <c r="E15" s="95">
        <f>'August - Overview'!$C15-'August - Overview'!$D15</f>
        <v>0</v>
      </c>
      <c r="G15" s="10"/>
      <c r="H15" s="46" t="s">
        <v>14</v>
      </c>
      <c r="I15" s="47">
        <f>SUM(I12:I14)</f>
        <v>0</v>
      </c>
      <c r="J15" s="28"/>
    </row>
    <row r="16" spans="2:10" ht="15">
      <c r="B16" s="87" t="s">
        <v>27</v>
      </c>
      <c r="C16" s="96">
        <f>Pets[[#Totals],[Budgeted
cost]]</f>
        <v>0</v>
      </c>
      <c r="D16" s="96">
        <f>Pets[[#Totals],[Actual
cost]]</f>
        <v>0</v>
      </c>
      <c r="E16" s="97">
        <f>'August - Overview'!$C16-'August - Overview'!$D16</f>
        <v>0</v>
      </c>
      <c r="G16" s="10"/>
      <c r="H16" s="31"/>
      <c r="I16" s="31"/>
      <c r="J16" s="28"/>
    </row>
    <row r="17" spans="2:10" ht="24.6">
      <c r="B17" s="85" t="s">
        <v>29</v>
      </c>
      <c r="C17" s="73">
        <f>Savings[[#Totals],[Budgeted
cost]]</f>
        <v>0</v>
      </c>
      <c r="D17" s="73">
        <f>Savings[[#Totals],[Actual
cost]]</f>
        <v>0</v>
      </c>
      <c r="E17" s="86">
        <f>'August - Overview'!$C17-'August - Overview'!$D17</f>
        <v>0</v>
      </c>
      <c r="F17" s="10"/>
      <c r="G17" s="8"/>
      <c r="H17" s="118" t="s">
        <v>24</v>
      </c>
      <c r="I17" s="119"/>
      <c r="J17" s="29"/>
    </row>
    <row r="18" spans="2:10" ht="15.6" thickBot="1">
      <c r="B18" s="87" t="s">
        <v>30</v>
      </c>
      <c r="C18" s="72">
        <f>Gifts[[#Totals],[Budgeted
cost]]</f>
        <v>0</v>
      </c>
      <c r="D18" s="72">
        <f>Gifts[[#Totals],[Actual
cost]]</f>
        <v>0</v>
      </c>
      <c r="E18" s="88">
        <f>'August - Overview'!$C18-'August - Overview'!$D18</f>
        <v>0</v>
      </c>
      <c r="F18" s="34"/>
      <c r="G18" s="35"/>
      <c r="H18" s="48" t="s">
        <v>35</v>
      </c>
      <c r="I18" s="49">
        <f>SUM(I9-'August - Overview'!$C$3:$C$3)</f>
        <v>0</v>
      </c>
      <c r="J18" s="29"/>
    </row>
    <row r="19" spans="2:10" s="32" customFormat="1" ht="25.15" thickTop="1">
      <c r="B19" s="91" t="s">
        <v>31</v>
      </c>
      <c r="C19" s="92">
        <f>SUBTOTAL(109,'August - Overview'!$C$6:$C$18)</f>
        <v>0</v>
      </c>
      <c r="D19" s="92">
        <f>SUBTOTAL(109,'August - Overview'!$D$6:$D$18)</f>
        <v>0</v>
      </c>
      <c r="E19" s="93">
        <f>SUBTOTAL(109,'August - Overview'!$E$6:$E$18)</f>
        <v>0</v>
      </c>
      <c r="H19" s="67" t="s">
        <v>36</v>
      </c>
      <c r="I19" s="68">
        <f>SUM(I15-D3)</f>
        <v>0</v>
      </c>
    </row>
    <row r="20" spans="2:10" ht="17.45">
      <c r="H20" s="52" t="s">
        <v>11</v>
      </c>
      <c r="I20" s="53">
        <f>SUM(I19-I18)</f>
        <v>0</v>
      </c>
    </row>
    <row r="21" spans="2:10" ht="30" customHeight="1">
      <c r="H21" s="8"/>
      <c r="I21" s="9"/>
    </row>
    <row r="22" spans="2:10" ht="30" customHeight="1">
      <c r="I22"/>
    </row>
    <row r="23" spans="2:10" ht="30" customHeight="1">
      <c r="I23"/>
    </row>
    <row r="24" spans="2:10" ht="30" customHeight="1">
      <c r="I24"/>
    </row>
    <row r="25" spans="2:10" ht="30" customHeight="1">
      <c r="I25"/>
    </row>
    <row r="26" spans="2:10" ht="30" customHeight="1">
      <c r="I26"/>
    </row>
    <row r="27" spans="2:10" ht="37.9" customHeight="1">
      <c r="I27"/>
    </row>
    <row r="28" spans="2:10" ht="30" customHeight="1">
      <c r="I28"/>
    </row>
    <row r="29" spans="2:10" ht="48" customHeight="1">
      <c r="I29"/>
    </row>
    <row r="30" spans="2:10" ht="30" customHeight="1">
      <c r="I30"/>
    </row>
    <row r="31" spans="2:10" ht="30" customHeight="1">
      <c r="I31"/>
    </row>
    <row r="32" spans="2:10" ht="30" customHeight="1">
      <c r="I32"/>
    </row>
    <row r="33" spans="9:9" ht="30" customHeight="1">
      <c r="I33"/>
    </row>
    <row r="34" spans="9:9" ht="30" customHeight="1">
      <c r="I34"/>
    </row>
    <row r="35" spans="9:9" ht="30" customHeight="1">
      <c r="I35"/>
    </row>
    <row r="36" spans="9:9" ht="30" customHeight="1">
      <c r="I36"/>
    </row>
    <row r="37" spans="9:9" ht="30" customHeight="1">
      <c r="I37"/>
    </row>
    <row r="38" spans="9:9" ht="30" customHeight="1">
      <c r="I38"/>
    </row>
    <row r="39" spans="9:9" ht="30" customHeight="1">
      <c r="I39"/>
    </row>
    <row r="40" spans="9:9" ht="37.9" customHeight="1">
      <c r="I40"/>
    </row>
    <row r="41" spans="9:9" ht="30" customHeight="1">
      <c r="I41"/>
    </row>
    <row r="42" spans="9:9" ht="48" customHeight="1">
      <c r="I42"/>
    </row>
    <row r="43" spans="9:9" ht="30" customHeight="1">
      <c r="I43"/>
    </row>
    <row r="44" spans="9:9" ht="30" customHeight="1">
      <c r="I44"/>
    </row>
    <row r="45" spans="9:9" ht="30" customHeight="1">
      <c r="I45"/>
    </row>
    <row r="46" spans="9:9" ht="30" customHeight="1">
      <c r="I46"/>
    </row>
    <row r="47" spans="9:9" ht="30" customHeight="1">
      <c r="I47"/>
    </row>
    <row r="48" spans="9:9" ht="30" customHeight="1">
      <c r="I48"/>
    </row>
    <row r="49" spans="9:9" ht="37.9" customHeight="1">
      <c r="I49"/>
    </row>
    <row r="50" spans="9:9" ht="30" customHeight="1">
      <c r="I50"/>
    </row>
    <row r="51" spans="9:9" ht="48" customHeight="1">
      <c r="I51"/>
    </row>
    <row r="52" spans="9:9" ht="30" customHeight="1">
      <c r="I52"/>
    </row>
    <row r="53" spans="9:9" ht="30" customHeight="1">
      <c r="I53"/>
    </row>
    <row r="54" spans="9:9" ht="30" customHeight="1">
      <c r="I54"/>
    </row>
    <row r="55" spans="9:9" ht="30" customHeight="1">
      <c r="I55"/>
    </row>
    <row r="56" spans="9:9" ht="30" customHeight="1">
      <c r="I56"/>
    </row>
    <row r="57" spans="9:9" ht="30" customHeight="1">
      <c r="I57"/>
    </row>
    <row r="58" spans="9:9" ht="30" customHeight="1">
      <c r="I58"/>
    </row>
    <row r="59" spans="9:9" ht="30" customHeight="1">
      <c r="I59"/>
    </row>
    <row r="60" spans="9:9" ht="30" customHeight="1">
      <c r="I60"/>
    </row>
    <row r="61" spans="9:9" ht="30" customHeight="1">
      <c r="I61"/>
    </row>
  </sheetData>
  <mergeCells count="4">
    <mergeCell ref="B1:H1"/>
    <mergeCell ref="H5:I5"/>
    <mergeCell ref="H11:I11"/>
    <mergeCell ref="H17:I17"/>
  </mergeCells>
  <conditionalFormatting sqref="B1 I1:J4 B2:F2 B3 E3:F3 F4 H5:H6 G5:G16 J5:J18 I6 H7:I10 H11 H12:I15 H16:H17 F17:G18 H18:I21">
    <cfRule type="cellIs" dxfId="549" priority="5" operator="lessThan">
      <formula>0</formula>
    </cfRule>
  </conditionalFormatting>
  <conditionalFormatting sqref="B6:E19">
    <cfRule type="cellIs" dxfId="548" priority="1" operator="lessThan">
      <formula>0</formula>
    </cfRule>
  </conditionalFormatting>
  <conditionalFormatting sqref="C3:D3">
    <cfRule type="cellIs" dxfId="547" priority="4" operator="lessThan">
      <formula>0</formula>
    </cfRule>
  </conditionalFormatting>
  <conditionalFormatting sqref="E3">
    <cfRule type="iconSet" priority="3">
      <iconSet iconSet="3Arrows">
        <cfvo type="percentile" val="0"/>
        <cfvo type="num" val="-50"/>
        <cfvo type="num" val="50"/>
      </iconSet>
    </cfRule>
  </conditionalFormatting>
  <conditionalFormatting sqref="E6:E18">
    <cfRule type="iconSet" priority="2">
      <iconSet iconSet="3Arrows">
        <cfvo type="percentile" val="0"/>
        <cfvo type="num" val="-50"/>
        <cfvo type="num" val="50"/>
      </iconSet>
    </cfRule>
  </conditionalFormatting>
  <conditionalFormatting sqref="I20:I21">
    <cfRule type="iconSet" priority="6">
      <iconSet iconSet="3Arrows">
        <cfvo type="percentile" val="0"/>
        <cfvo type="num" val="-50"/>
        <cfvo type="num" val="50"/>
      </iconSet>
    </cfRule>
  </conditionalFormatting>
  <dataValidations count="11">
    <dataValidation allowBlank="1" showInputMessage="1" showErrorMessage="1" prompt="Create a Family Budget Planner in this worksheet. Enter details in tables. Total Projected and Actual Costs, Projected and Actual Balance, and Difference are auto calculated" sqref="A1" xr:uid="{0E9063D7-FEC9-4590-9778-CC684E931818}"/>
    <dataValidation allowBlank="1" showInputMessage="1" showErrorMessage="1" prompt="Title of this worksheet is in this cell. Summary is in table below. Sample expense categories are in separate tables starting in B5. Enter income amounts starting in cell G2" sqref="B1" xr:uid="{48564764-068D-4BDD-811D-2176AB929DE0}"/>
    <dataValidation allowBlank="1" showInputMessage="1" showErrorMessage="1" prompt="Total Projected Cost is auto calculated in cell below" sqref="C2" xr:uid="{75FD58D1-1D6C-424A-8758-15C3DA008475}"/>
    <dataValidation allowBlank="1" showInputMessage="1" showErrorMessage="1" prompt="Total Actual Cost is auto calculated in cell below" sqref="D2" xr:uid="{54DC6C59-52AD-42CE-A8A9-FD46EF220C24}"/>
    <dataValidation allowBlank="1" showInputMessage="1" showErrorMessage="1" prompt="Total Difference is auto calculated in cell below" sqref="E2" xr:uid="{57FD5323-12E3-4157-8F44-B87F25A9FE5A}"/>
    <dataValidation allowBlank="1" showInputMessage="1" showErrorMessage="1" prompt="Enter Projected Monthly Income Source in this column under this heading" sqref="H5" xr:uid="{9AE652DA-7D2A-45E2-AE6C-D4DCFEC0BE03}"/>
    <dataValidation allowBlank="1" showInputMessage="1" showErrorMessage="1" prompt="Enter details in Actual Monthly Income table below" sqref="H10" xr:uid="{9DD28C18-0146-4F7D-97C3-B1A981AA57EA}"/>
    <dataValidation allowBlank="1" showInputMessage="1" showErrorMessage="1" prompt="Enter Actual Monthly Income Source in this column under this heading" sqref="H11" xr:uid="{32647AF1-22FC-4C9E-AD28-07CDD7C8B76C}"/>
    <dataValidation allowBlank="1" showInputMessage="1" showErrorMessage="1" prompt="Balance table below is auto updated" sqref="H16" xr:uid="{0655B337-6CF3-4B68-B39E-FC230A07A28A}"/>
    <dataValidation allowBlank="1" showInputMessage="1" showErrorMessage="1" prompt="Balance is in this column under this heading" sqref="H17" xr:uid="{47C22FC6-E3D4-4910-9470-A7DF6670E723}"/>
    <dataValidation allowBlank="1" showInputMessage="1" showErrorMessage="1" prompt="Total Projected, Actual, and Difference is auto calculated in this table" sqref="B2" xr:uid="{38B974C7-4766-4E2B-B569-6D6BBC0DF4DF}"/>
  </dataValidations>
  <printOptions horizontalCentered="1"/>
  <pageMargins left="0.23622047244094491" right="0.23622047244094491" top="0.51181102362204722" bottom="0.51181102362204722" header="0.51181102362204722" footer="0.51181102362204722"/>
  <pageSetup scale="60" orientation="landscape" r:id="rId1"/>
  <headerFooter alignWithMargins="0"/>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A5D7D-C591-44B7-94C5-0AAE6972A1D7}">
  <sheetPr>
    <tabColor theme="2" tint="-9.9978637043366805E-2"/>
  </sheetPr>
  <dimension ref="B1:L74"/>
  <sheetViews>
    <sheetView topLeftCell="A9" zoomScale="70" zoomScaleNormal="70" workbookViewId="0">
      <selection activeCell="I36" sqref="I36"/>
    </sheetView>
  </sheetViews>
  <sheetFormatPr defaultColWidth="9" defaultRowHeight="13.9"/>
  <cols>
    <col min="1" max="1" width="2.375" style="12" customWidth="1"/>
    <col min="2" max="2" width="29.75" style="12" bestFit="1" customWidth="1"/>
    <col min="3" max="3" width="13.5" style="12" bestFit="1" customWidth="1"/>
    <col min="4" max="4" width="10.25" style="12" bestFit="1" customWidth="1"/>
    <col min="5" max="5" width="14.875" style="66" bestFit="1" customWidth="1"/>
    <col min="6" max="6" width="14.25" style="12" bestFit="1" customWidth="1"/>
    <col min="7" max="7" width="5.5" style="12" customWidth="1"/>
    <col min="8" max="8" width="28.125" style="12" bestFit="1" customWidth="1"/>
    <col min="9" max="9" width="13.5" style="12" bestFit="1" customWidth="1"/>
    <col min="10" max="10" width="10.25" style="12" bestFit="1" customWidth="1"/>
    <col min="11" max="11" width="12.875" style="12" bestFit="1" customWidth="1"/>
    <col min="12" max="12" width="14.25" style="12" bestFit="1" customWidth="1"/>
    <col min="13" max="16384" width="9" style="12"/>
  </cols>
  <sheetData>
    <row r="1" spans="2:12" ht="15" customHeight="1">
      <c r="B1" s="56"/>
      <c r="C1" s="56"/>
      <c r="D1" s="56"/>
      <c r="E1" s="74"/>
      <c r="F1" s="75"/>
      <c r="G1" s="56"/>
      <c r="H1" s="56"/>
      <c r="I1" s="56"/>
      <c r="J1" s="56"/>
    </row>
    <row r="2" spans="2:12" ht="15" customHeight="1">
      <c r="B2" s="22" t="s">
        <v>13</v>
      </c>
      <c r="C2" s="21" t="s">
        <v>9</v>
      </c>
      <c r="D2" s="21" t="s">
        <v>10</v>
      </c>
      <c r="E2" s="57" t="s">
        <v>37</v>
      </c>
      <c r="F2" s="21" t="s">
        <v>11</v>
      </c>
      <c r="G2" s="56"/>
      <c r="H2" s="22" t="s">
        <v>29</v>
      </c>
      <c r="I2" s="21" t="s">
        <v>9</v>
      </c>
      <c r="J2" s="21" t="s">
        <v>10</v>
      </c>
      <c r="K2" s="63" t="s">
        <v>37</v>
      </c>
      <c r="L2" s="21" t="s">
        <v>11</v>
      </c>
    </row>
    <row r="3" spans="2:12" ht="15" customHeight="1">
      <c r="B3" s="18" t="s">
        <v>38</v>
      </c>
      <c r="C3" s="17"/>
      <c r="D3" s="17"/>
      <c r="E3" s="58"/>
      <c r="F3" s="17">
        <f>Housing102115128141154167180[[#This Row],[Budgeted
cost]]-Housing102115128141154167180[[#This Row],[Actual
cost]]</f>
        <v>0</v>
      </c>
      <c r="G3" s="56"/>
      <c r="H3" s="18" t="s">
        <v>39</v>
      </c>
      <c r="I3" s="17"/>
      <c r="J3" s="17"/>
      <c r="K3" s="58"/>
      <c r="L3" s="17">
        <f>Savings92105118131144157170[[#This Row],[Budgeted
cost]]-Savings92105118131144157170[[#This Row],[Actual
cost]]</f>
        <v>0</v>
      </c>
    </row>
    <row r="4" spans="2:12" ht="15" customHeight="1">
      <c r="B4" s="18" t="s">
        <v>40</v>
      </c>
      <c r="C4" s="17"/>
      <c r="D4" s="17"/>
      <c r="E4" s="58"/>
      <c r="F4" s="17">
        <f>Housing102115128141154167180[[#This Row],[Budgeted
cost]]-Housing102115128141154167180[[#This Row],[Actual
cost]]</f>
        <v>0</v>
      </c>
      <c r="G4" s="56"/>
      <c r="H4" s="18" t="s">
        <v>41</v>
      </c>
      <c r="I4" s="17"/>
      <c r="J4" s="17"/>
      <c r="K4" s="58"/>
      <c r="L4" s="17">
        <f>Savings92105118131144157170[[#This Row],[Budgeted
cost]]-Savings92105118131144157170[[#This Row],[Actual
cost]]</f>
        <v>0</v>
      </c>
    </row>
    <row r="5" spans="2:12" ht="15" customHeight="1">
      <c r="B5" s="18" t="s">
        <v>42</v>
      </c>
      <c r="C5" s="17"/>
      <c r="D5" s="17"/>
      <c r="E5" s="58"/>
      <c r="F5" s="17">
        <f>Housing102115128141154167180[[#This Row],[Budgeted
cost]]-Housing102115128141154167180[[#This Row],[Actual
cost]]</f>
        <v>0</v>
      </c>
      <c r="G5" s="56"/>
      <c r="H5" s="18" t="s">
        <v>43</v>
      </c>
      <c r="I5" s="17"/>
      <c r="J5" s="17"/>
      <c r="K5" s="58"/>
      <c r="L5" s="17">
        <f>Savings92105118131144157170[[#This Row],[Budgeted
cost]]-Savings92105118131144157170[[#This Row],[Actual
cost]]</f>
        <v>0</v>
      </c>
    </row>
    <row r="6" spans="2:12" ht="15" customHeight="1">
      <c r="B6" s="18" t="s">
        <v>44</v>
      </c>
      <c r="C6" s="17"/>
      <c r="D6" s="17"/>
      <c r="E6" s="58"/>
      <c r="F6" s="17">
        <f>Housing102115128141154167180[[#This Row],[Budgeted
cost]]-Housing102115128141154167180[[#This Row],[Actual
cost]]</f>
        <v>0</v>
      </c>
      <c r="G6" s="56"/>
      <c r="H6" s="18" t="s">
        <v>45</v>
      </c>
      <c r="I6" s="17"/>
      <c r="J6" s="17"/>
      <c r="K6" s="58"/>
      <c r="L6" s="17">
        <f>Savings92105118131144157170[[#This Row],[Budgeted
cost]]-Savings92105118131144157170[[#This Row],[Actual
cost]]</f>
        <v>0</v>
      </c>
    </row>
    <row r="7" spans="2:12" ht="15" customHeight="1">
      <c r="B7" s="18" t="s">
        <v>46</v>
      </c>
      <c r="C7" s="17"/>
      <c r="D7" s="17"/>
      <c r="E7" s="58"/>
      <c r="F7" s="17">
        <f>Housing102115128141154167180[[#This Row],[Budgeted
cost]]-Housing102115128141154167180[[#This Row],[Actual
cost]]</f>
        <v>0</v>
      </c>
      <c r="G7" s="56"/>
      <c r="H7" s="18" t="s">
        <v>47</v>
      </c>
      <c r="I7" s="17"/>
      <c r="J7" s="17"/>
      <c r="K7" s="58"/>
      <c r="L7" s="17">
        <f>Savings92105118131144157170[[#This Row],[Budgeted
cost]]-Savings92105118131144157170[[#This Row],[Actual
cost]]</f>
        <v>0</v>
      </c>
    </row>
    <row r="8" spans="2:12" ht="15" customHeight="1">
      <c r="B8" s="18" t="s">
        <v>48</v>
      </c>
      <c r="C8" s="17"/>
      <c r="D8" s="17"/>
      <c r="E8" s="58"/>
      <c r="F8" s="17">
        <f>Housing102115128141154167180[[#This Row],[Budgeted
cost]]-Housing102115128141154167180[[#This Row],[Actual
cost]]</f>
        <v>0</v>
      </c>
      <c r="G8" s="56"/>
      <c r="H8" s="18" t="s">
        <v>49</v>
      </c>
      <c r="I8" s="17"/>
      <c r="J8" s="17"/>
      <c r="K8" s="58"/>
      <c r="L8" s="17">
        <f>Savings92105118131144157170[[#This Row],[Budgeted
cost]]-Savings92105118131144157170[[#This Row],[Actual
cost]]</f>
        <v>0</v>
      </c>
    </row>
    <row r="9" spans="2:12" ht="15" customHeight="1">
      <c r="B9" s="18" t="s">
        <v>50</v>
      </c>
      <c r="C9" s="17"/>
      <c r="D9" s="17"/>
      <c r="E9" s="58"/>
      <c r="F9" s="17">
        <f>Housing102115128141154167180[[#This Row],[Budgeted
cost]]-Housing102115128141154167180[[#This Row],[Actual
cost]]</f>
        <v>0</v>
      </c>
      <c r="G9" s="56"/>
      <c r="H9" s="18" t="s">
        <v>49</v>
      </c>
      <c r="I9" s="17"/>
      <c r="J9" s="17"/>
      <c r="K9" s="58"/>
      <c r="L9" s="17">
        <f>Savings92105118131144157170[[#This Row],[Budgeted
cost]]-Savings92105118131144157170[[#This Row],[Actual
cost]]</f>
        <v>0</v>
      </c>
    </row>
    <row r="10" spans="2:12" ht="15" customHeight="1">
      <c r="B10" s="18" t="s">
        <v>51</v>
      </c>
      <c r="C10" s="17"/>
      <c r="D10" s="17"/>
      <c r="E10" s="58"/>
      <c r="F10" s="17">
        <f>Housing102115128141154167180[[#This Row],[Budgeted
cost]]-Housing102115128141154167180[[#This Row],[Actual
cost]]</f>
        <v>0</v>
      </c>
      <c r="G10" s="56"/>
      <c r="H10" s="18" t="s">
        <v>31</v>
      </c>
      <c r="I10" s="19">
        <f>SUBTOTAL(109,Savings92105118131144157170[Budgeted
cost])</f>
        <v>0</v>
      </c>
      <c r="J10" s="19">
        <f>SUBTOTAL(109,Savings92105118131144157170[Actual
cost])</f>
        <v>0</v>
      </c>
      <c r="K10" s="61"/>
      <c r="L10" s="19">
        <f>SUBTOTAL(109,Savings92105118131144157170[Difference])</f>
        <v>0</v>
      </c>
    </row>
    <row r="11" spans="2:12" ht="15" customHeight="1">
      <c r="B11" s="18" t="s">
        <v>52</v>
      </c>
      <c r="C11" s="17"/>
      <c r="D11" s="17"/>
      <c r="E11" s="58"/>
      <c r="F11" s="17">
        <f>Housing102115128141154167180[[#This Row],[Budgeted
cost]]-Housing102115128141154167180[[#This Row],[Actual
cost]]</f>
        <v>0</v>
      </c>
      <c r="G11" s="56"/>
      <c r="H11" s="56"/>
      <c r="I11" s="56"/>
      <c r="J11" s="56"/>
    </row>
    <row r="12" spans="2:12" ht="15" customHeight="1">
      <c r="B12" s="18" t="s">
        <v>49</v>
      </c>
      <c r="C12" s="17"/>
      <c r="D12" s="17"/>
      <c r="E12" s="58"/>
      <c r="F12" s="17">
        <f>Housing102115128141154167180[[#This Row],[Budgeted
cost]]-Housing102115128141154167180[[#This Row],[Actual
cost]]</f>
        <v>0</v>
      </c>
      <c r="G12" s="56"/>
    </row>
    <row r="13" spans="2:12" ht="15" customHeight="1">
      <c r="B13" s="18" t="s">
        <v>31</v>
      </c>
      <c r="C13" s="19">
        <f>SUBTOTAL(109,Housing102115128141154167180[Budgeted
cost])</f>
        <v>0</v>
      </c>
      <c r="D13" s="19">
        <f>SUBTOTAL(109,Housing102115128141154167180[Actual
cost])</f>
        <v>0</v>
      </c>
      <c r="E13"/>
      <c r="F13" s="19">
        <f>SUBTOTAL(109,Housing102115128141154167180[Difference])</f>
        <v>0</v>
      </c>
      <c r="G13" s="56"/>
    </row>
    <row r="14" spans="2:12" ht="15" customHeight="1">
      <c r="B14" s="56"/>
      <c r="C14" s="56"/>
      <c r="D14" s="56"/>
      <c r="E14" s="74"/>
      <c r="F14" s="75"/>
      <c r="G14" s="56"/>
    </row>
    <row r="15" spans="2:12" ht="27.6">
      <c r="B15" s="22" t="s">
        <v>15</v>
      </c>
      <c r="C15" s="21" t="s">
        <v>9</v>
      </c>
      <c r="D15" s="21" t="s">
        <v>10</v>
      </c>
      <c r="E15" s="60" t="s">
        <v>37</v>
      </c>
      <c r="F15" s="21" t="s">
        <v>11</v>
      </c>
      <c r="G15" s="13"/>
      <c r="H15" s="22" t="s">
        <v>23</v>
      </c>
      <c r="I15" s="21" t="s">
        <v>9</v>
      </c>
      <c r="J15" s="23" t="s">
        <v>10</v>
      </c>
      <c r="K15" s="63" t="s">
        <v>37</v>
      </c>
      <c r="L15" s="21" t="s">
        <v>11</v>
      </c>
    </row>
    <row r="16" spans="2:12">
      <c r="B16" s="18" t="s">
        <v>53</v>
      </c>
      <c r="C16" s="17"/>
      <c r="D16" s="17"/>
      <c r="E16" s="58"/>
      <c r="F16" s="17">
        <f>Transportation101114127140153166179[[#This Row],[Budgeted
cost]]-Transportation101114127140153166179[[#This Row],[Actual
cost]]</f>
        <v>0</v>
      </c>
      <c r="G16" s="13"/>
      <c r="H16" s="18" t="s">
        <v>54</v>
      </c>
      <c r="I16" s="17"/>
      <c r="J16" s="17"/>
      <c r="K16" s="58"/>
      <c r="L16" s="17">
        <f>PersonalCare96109122135148161174[[#This Row],[Budgeted
cost]]-PersonalCare96109122135148161174[[#This Row],[Actual
cost]]</f>
        <v>0</v>
      </c>
    </row>
    <row r="17" spans="2:12">
      <c r="B17" s="18" t="s">
        <v>55</v>
      </c>
      <c r="C17" s="17"/>
      <c r="D17" s="17"/>
      <c r="E17" s="58"/>
      <c r="F17" s="17">
        <f>Transportation101114127140153166179[[#This Row],[Budgeted
cost]]-Transportation101114127140153166179[[#This Row],[Actual
cost]]</f>
        <v>0</v>
      </c>
      <c r="G17" s="13"/>
      <c r="H17" s="18" t="s">
        <v>56</v>
      </c>
      <c r="I17" s="17"/>
      <c r="J17" s="17"/>
      <c r="K17" s="58"/>
      <c r="L17" s="17">
        <f>PersonalCare96109122135148161174[[#This Row],[Budgeted
cost]]-PersonalCare96109122135148161174[[#This Row],[Actual
cost]]</f>
        <v>0</v>
      </c>
    </row>
    <row r="18" spans="2:12">
      <c r="B18" s="18" t="s">
        <v>57</v>
      </c>
      <c r="C18" s="17"/>
      <c r="D18" s="17"/>
      <c r="E18" s="58"/>
      <c r="F18" s="17">
        <f>Transportation101114127140153166179[[#This Row],[Budgeted
cost]]-Transportation101114127140153166179[[#This Row],[Actual
cost]]</f>
        <v>0</v>
      </c>
      <c r="G18" s="13"/>
      <c r="H18" s="18" t="s">
        <v>58</v>
      </c>
      <c r="I18" s="17"/>
      <c r="J18" s="17"/>
      <c r="K18" s="58"/>
      <c r="L18" s="17">
        <f>PersonalCare96109122135148161174[[#This Row],[Budgeted
cost]]-PersonalCare96109122135148161174[[#This Row],[Actual
cost]]</f>
        <v>0</v>
      </c>
    </row>
    <row r="19" spans="2:12">
      <c r="B19" s="18" t="s">
        <v>18</v>
      </c>
      <c r="C19" s="17"/>
      <c r="D19" s="17"/>
      <c r="E19" s="58"/>
      <c r="F19" s="17">
        <f>Transportation101114127140153166179[[#This Row],[Budgeted
cost]]-Transportation101114127140153166179[[#This Row],[Actual
cost]]</f>
        <v>0</v>
      </c>
      <c r="G19" s="13"/>
      <c r="H19" s="18" t="s">
        <v>59</v>
      </c>
      <c r="I19" s="17"/>
      <c r="J19" s="17"/>
      <c r="K19" s="58"/>
      <c r="L19" s="17">
        <f>PersonalCare96109122135148161174[[#This Row],[Budgeted
cost]]-PersonalCare96109122135148161174[[#This Row],[Actual
cost]]</f>
        <v>0</v>
      </c>
    </row>
    <row r="20" spans="2:12">
      <c r="B20" s="18" t="s">
        <v>60</v>
      </c>
      <c r="C20" s="17"/>
      <c r="D20" s="17"/>
      <c r="E20" s="58"/>
      <c r="F20" s="17">
        <f>Transportation101114127140153166179[[#This Row],[Budgeted
cost]]-Transportation101114127140153166179[[#This Row],[Actual
cost]]</f>
        <v>0</v>
      </c>
      <c r="G20" s="13"/>
      <c r="H20" s="18" t="s">
        <v>61</v>
      </c>
      <c r="I20" s="17"/>
      <c r="J20" s="17"/>
      <c r="K20" s="58"/>
      <c r="L20" s="17">
        <f>PersonalCare96109122135148161174[[#This Row],[Budgeted
cost]]-PersonalCare96109122135148161174[[#This Row],[Actual
cost]]</f>
        <v>0</v>
      </c>
    </row>
    <row r="21" spans="2:12">
      <c r="B21" s="18" t="s">
        <v>62</v>
      </c>
      <c r="C21" s="17"/>
      <c r="D21" s="17"/>
      <c r="E21" s="58"/>
      <c r="F21" s="17">
        <f>Transportation101114127140153166179[[#This Row],[Budgeted
cost]]-Transportation101114127140153166179[[#This Row],[Actual
cost]]</f>
        <v>0</v>
      </c>
      <c r="G21" s="13"/>
      <c r="H21" s="18" t="s">
        <v>63</v>
      </c>
      <c r="I21" s="17"/>
      <c r="J21" s="17"/>
      <c r="K21" s="58"/>
      <c r="L21" s="17">
        <f>PersonalCare96109122135148161174[[#This Row],[Budgeted
cost]]-PersonalCare96109122135148161174[[#This Row],[Actual
cost]]</f>
        <v>0</v>
      </c>
    </row>
    <row r="22" spans="2:12">
      <c r="B22" s="18" t="s">
        <v>64</v>
      </c>
      <c r="C22" s="17"/>
      <c r="D22" s="17"/>
      <c r="E22" s="58"/>
      <c r="F22" s="17">
        <f>Transportation101114127140153166179[[#This Row],[Budgeted
cost]]-Transportation101114127140153166179[[#This Row],[Actual
cost]]</f>
        <v>0</v>
      </c>
      <c r="G22" s="13"/>
      <c r="H22" s="18" t="s">
        <v>49</v>
      </c>
      <c r="I22" s="17"/>
      <c r="J22" s="17"/>
      <c r="K22" s="58"/>
      <c r="L22" s="17">
        <f>PersonalCare96109122135148161174[[#This Row],[Budgeted
cost]]-PersonalCare96109122135148161174[[#This Row],[Actual
cost]]</f>
        <v>0</v>
      </c>
    </row>
    <row r="23" spans="2:12">
      <c r="B23" s="18" t="s">
        <v>49</v>
      </c>
      <c r="C23" s="17"/>
      <c r="D23" s="17"/>
      <c r="E23" s="58"/>
      <c r="F23" s="17">
        <f>Transportation101114127140153166179[[#This Row],[Budgeted
cost]]-Transportation101114127140153166179[[#This Row],[Actual
cost]]</f>
        <v>0</v>
      </c>
      <c r="G23" s="13"/>
      <c r="H23" s="18" t="s">
        <v>49</v>
      </c>
      <c r="I23" s="17"/>
      <c r="J23" s="17"/>
      <c r="K23" s="58"/>
      <c r="L23" s="17">
        <f>PersonalCare96109122135148161174[[#This Row],[Budgeted
cost]]-PersonalCare96109122135148161174[[#This Row],[Actual
cost]]</f>
        <v>0</v>
      </c>
    </row>
    <row r="24" spans="2:12">
      <c r="B24" s="18" t="s">
        <v>49</v>
      </c>
      <c r="C24" s="17"/>
      <c r="D24" s="17"/>
      <c r="E24" s="58"/>
      <c r="F24" s="17">
        <f>Transportation101114127140153166179[[#This Row],[Budgeted
cost]]-Transportation101114127140153166179[[#This Row],[Actual
cost]]</f>
        <v>0</v>
      </c>
      <c r="G24" s="13"/>
      <c r="H24" s="18" t="s">
        <v>31</v>
      </c>
      <c r="I24" s="19">
        <f>SUBTOTAL(109,PersonalCare96109122135148161174[Budgeted
cost])</f>
        <v>0</v>
      </c>
      <c r="J24" s="19">
        <f>SUBTOTAL(109,PersonalCare96109122135148161174[Actual
cost])</f>
        <v>0</v>
      </c>
      <c r="K24" s="61"/>
      <c r="L24" s="19">
        <f>SUBTOTAL(109,PersonalCare96109122135148161174[Difference])</f>
        <v>0</v>
      </c>
    </row>
    <row r="25" spans="2:12">
      <c r="B25" s="18" t="s">
        <v>31</v>
      </c>
      <c r="C25" s="19">
        <f>SUBTOTAL(109,Transportation101114127140153166179[Budgeted
cost])</f>
        <v>0</v>
      </c>
      <c r="D25" s="19">
        <f>SUBTOTAL(109,Transportation101114127140153166179[Actual
cost])</f>
        <v>0</v>
      </c>
      <c r="E25" s="61"/>
      <c r="F25" s="19">
        <f>SUBTOTAL(109,Transportation101114127140153166179[Difference])</f>
        <v>0</v>
      </c>
      <c r="G25" s="13"/>
    </row>
    <row r="26" spans="2:12" ht="17.45">
      <c r="B26" s="7"/>
      <c r="C26" s="6"/>
      <c r="D26" s="6"/>
      <c r="E26" s="62"/>
      <c r="F26" s="13"/>
    </row>
    <row r="27" spans="2:12" ht="27.6">
      <c r="B27" s="22" t="s">
        <v>18</v>
      </c>
      <c r="C27" s="21" t="s">
        <v>9</v>
      </c>
      <c r="D27" s="21" t="s">
        <v>10</v>
      </c>
      <c r="E27" s="63" t="s">
        <v>37</v>
      </c>
      <c r="F27" s="21" t="s">
        <v>11</v>
      </c>
      <c r="G27" s="13"/>
      <c r="H27" s="22" t="s">
        <v>27</v>
      </c>
      <c r="I27" s="21" t="s">
        <v>9</v>
      </c>
      <c r="J27" s="23" t="s">
        <v>10</v>
      </c>
      <c r="K27" s="63" t="s">
        <v>37</v>
      </c>
      <c r="L27" s="21" t="s">
        <v>11</v>
      </c>
    </row>
    <row r="28" spans="2:12">
      <c r="B28" s="18" t="s">
        <v>65</v>
      </c>
      <c r="C28" s="17"/>
      <c r="D28" s="17"/>
      <c r="E28" s="58"/>
      <c r="F28" s="17">
        <f>Insurance100113126139152165178[[#This Row],[Budgeted
cost]]-Insurance100113126139152165178[[#This Row],[Actual
cost]]</f>
        <v>0</v>
      </c>
      <c r="G28" s="13"/>
      <c r="H28" s="18" t="s">
        <v>20</v>
      </c>
      <c r="I28" s="17"/>
      <c r="J28" s="17"/>
      <c r="K28" s="58"/>
      <c r="L28" s="17">
        <f>Pets97110123136149162175[[#This Row],[Budgeted
cost]]-Pets97110123136149162175[[#This Row],[Actual
cost]]</f>
        <v>0</v>
      </c>
    </row>
    <row r="29" spans="2:12">
      <c r="B29" s="18" t="s">
        <v>66</v>
      </c>
      <c r="C29" s="17"/>
      <c r="D29" s="17"/>
      <c r="E29" s="58"/>
      <c r="F29" s="17">
        <f>Insurance100113126139152165178[[#This Row],[Budgeted
cost]]-Insurance100113126139152165178[[#This Row],[Actual
cost]]</f>
        <v>0</v>
      </c>
      <c r="G29" s="13"/>
      <c r="H29" s="18" t="s">
        <v>54</v>
      </c>
      <c r="I29" s="17"/>
      <c r="J29" s="17"/>
      <c r="K29" s="58"/>
      <c r="L29" s="17">
        <f>Pets97110123136149162175[[#This Row],[Budgeted
cost]]-Pets97110123136149162175[[#This Row],[Actual
cost]]</f>
        <v>0</v>
      </c>
    </row>
    <row r="30" spans="2:12">
      <c r="B30" s="18" t="s">
        <v>67</v>
      </c>
      <c r="C30" s="17"/>
      <c r="D30" s="17"/>
      <c r="E30" s="58"/>
      <c r="F30" s="17">
        <f>Insurance100113126139152165178[[#This Row],[Budgeted
cost]]-Insurance100113126139152165178[[#This Row],[Actual
cost]]</f>
        <v>0</v>
      </c>
      <c r="G30" s="13"/>
      <c r="H30" s="18" t="s">
        <v>68</v>
      </c>
      <c r="I30" s="17"/>
      <c r="J30" s="17"/>
      <c r="K30" s="58"/>
      <c r="L30" s="17">
        <f>Pets97110123136149162175[[#This Row],[Budgeted
cost]]-Pets97110123136149162175[[#This Row],[Actual
cost]]</f>
        <v>0</v>
      </c>
    </row>
    <row r="31" spans="2:12">
      <c r="B31" s="18" t="s">
        <v>49</v>
      </c>
      <c r="C31" s="17"/>
      <c r="D31" s="17"/>
      <c r="E31" s="58"/>
      <c r="F31" s="17">
        <f>Insurance100113126139152165178[[#This Row],[Budgeted
cost]]-Insurance100113126139152165178[[#This Row],[Actual
cost]]</f>
        <v>0</v>
      </c>
      <c r="G31" s="13"/>
      <c r="H31" s="18" t="s">
        <v>69</v>
      </c>
      <c r="I31" s="17"/>
      <c r="J31" s="17"/>
      <c r="K31" s="58"/>
      <c r="L31" s="17">
        <f>Pets97110123136149162175[[#This Row],[Budgeted
cost]]-Pets97110123136149162175[[#This Row],[Actual
cost]]</f>
        <v>0</v>
      </c>
    </row>
    <row r="32" spans="2:12">
      <c r="B32" s="18" t="s">
        <v>49</v>
      </c>
      <c r="C32" s="17"/>
      <c r="D32" s="17"/>
      <c r="E32" s="58"/>
      <c r="F32" s="17">
        <f>Insurance100113126139152165178[[#This Row],[Budgeted
cost]]-Insurance100113126139152165178[[#This Row],[Actual
cost]]</f>
        <v>0</v>
      </c>
      <c r="G32" s="13"/>
      <c r="H32" s="18" t="s">
        <v>49</v>
      </c>
      <c r="I32" s="17"/>
      <c r="J32" s="17"/>
      <c r="K32" s="58"/>
      <c r="L32" s="17">
        <f>Pets97110123136149162175[[#This Row],[Budgeted
cost]]-Pets97110123136149162175[[#This Row],[Actual
cost]]</f>
        <v>0</v>
      </c>
    </row>
    <row r="33" spans="2:12">
      <c r="B33" s="18" t="s">
        <v>31</v>
      </c>
      <c r="C33" s="19">
        <f>SUBTOTAL(109,Insurance100113126139152165178[Budgeted
cost])</f>
        <v>0</v>
      </c>
      <c r="D33" s="19">
        <f>SUBTOTAL(109,Insurance100113126139152165178[Actual
cost])</f>
        <v>0</v>
      </c>
      <c r="E33" s="61"/>
      <c r="F33" s="19">
        <f>SUBTOTAL(109,Insurance100113126139152165178[Difference])</f>
        <v>0</v>
      </c>
      <c r="G33" s="13"/>
      <c r="H33" s="18" t="s">
        <v>31</v>
      </c>
      <c r="I33" s="19">
        <f>SUBTOTAL(109,Pets97110123136149162175[Budgeted
cost])</f>
        <v>0</v>
      </c>
      <c r="J33" s="19">
        <f>SUBTOTAL(109,Pets97110123136149162175[Actual
cost])</f>
        <v>0</v>
      </c>
      <c r="K33" s="64"/>
      <c r="L33" s="19">
        <f>SUBTOTAL(109,Pets97110123136149162175[Difference])</f>
        <v>0</v>
      </c>
    </row>
    <row r="34" spans="2:12" ht="17.45">
      <c r="B34" s="7"/>
      <c r="C34" s="6"/>
      <c r="D34" s="6"/>
      <c r="E34" s="62"/>
      <c r="F34" s="13"/>
    </row>
    <row r="35" spans="2:12" ht="27.6">
      <c r="B35" s="22" t="s">
        <v>20</v>
      </c>
      <c r="C35" s="57" t="s">
        <v>9</v>
      </c>
      <c r="D35" s="21" t="s">
        <v>10</v>
      </c>
      <c r="E35" s="63" t="s">
        <v>37</v>
      </c>
      <c r="F35" s="21" t="s">
        <v>11</v>
      </c>
      <c r="H35" s="22" t="s">
        <v>21</v>
      </c>
      <c r="I35" s="21" t="s">
        <v>70</v>
      </c>
      <c r="J35" s="23" t="s">
        <v>71</v>
      </c>
      <c r="K35" s="63" t="s">
        <v>37</v>
      </c>
      <c r="L35" s="21" t="s">
        <v>11</v>
      </c>
    </row>
    <row r="36" spans="2:12">
      <c r="B36" s="18" t="s">
        <v>72</v>
      </c>
      <c r="C36" s="17"/>
      <c r="D36" s="17"/>
      <c r="E36" s="58"/>
      <c r="F36" s="17">
        <f>Food99112125138151164177[[#This Row],[Budgeted
cost]]-Food99112125138151164177[[#This Row],[Actual
cost]]</f>
        <v>0</v>
      </c>
      <c r="H36" s="18" t="s">
        <v>73</v>
      </c>
      <c r="I36" s="17"/>
      <c r="J36" s="17"/>
      <c r="K36" s="58"/>
      <c r="L36" s="17">
        <f>Taxes93106119132145158171[[#This Row],[Budgeted 
cost]]-Taxes93106119132145158171[[#This Row],[Actual 
cost]]</f>
        <v>0</v>
      </c>
    </row>
    <row r="37" spans="2:12">
      <c r="B37" s="18" t="s">
        <v>74</v>
      </c>
      <c r="C37" s="17"/>
      <c r="D37" s="17"/>
      <c r="E37" s="58"/>
      <c r="F37" s="17">
        <f>Food99112125138151164177[[#This Row],[Budgeted
cost]]-Food99112125138151164177[[#This Row],[Actual
cost]]</f>
        <v>0</v>
      </c>
      <c r="G37" s="13"/>
      <c r="H37" s="18" t="s">
        <v>75</v>
      </c>
      <c r="I37" s="17"/>
      <c r="J37" s="17"/>
      <c r="K37" s="58"/>
      <c r="L37" s="17">
        <f>Taxes93106119132145158171[[#This Row],[Budgeted 
cost]]-Taxes93106119132145158171[[#This Row],[Actual 
cost]]</f>
        <v>0</v>
      </c>
    </row>
    <row r="38" spans="2:12">
      <c r="B38" s="18" t="s">
        <v>76</v>
      </c>
      <c r="C38" s="17"/>
      <c r="D38" s="17"/>
      <c r="E38" s="58"/>
      <c r="F38" s="17">
        <f>Food99112125138151164177[[#This Row],[Budgeted
cost]]-Food99112125138151164177[[#This Row],[Actual
cost]]</f>
        <v>0</v>
      </c>
      <c r="G38" s="13"/>
      <c r="H38" s="18" t="s">
        <v>49</v>
      </c>
      <c r="I38" s="17"/>
      <c r="J38" s="17"/>
      <c r="K38" s="58"/>
      <c r="L38" s="17">
        <f>Taxes93106119132145158171[[#This Row],[Budgeted 
cost]]-Taxes93106119132145158171[[#This Row],[Actual 
cost]]</f>
        <v>0</v>
      </c>
    </row>
    <row r="39" spans="2:12">
      <c r="B39" s="18" t="s">
        <v>49</v>
      </c>
      <c r="C39" s="17"/>
      <c r="D39" s="17"/>
      <c r="E39" s="58"/>
      <c r="F39" s="17">
        <f>Food99112125138151164177[[#This Row],[Budgeted
cost]]-Food99112125138151164177[[#This Row],[Actual
cost]]</f>
        <v>0</v>
      </c>
      <c r="G39" s="13"/>
      <c r="H39" s="18" t="s">
        <v>49</v>
      </c>
      <c r="I39" s="17"/>
      <c r="J39" s="17"/>
      <c r="K39" s="58"/>
      <c r="L39" s="17">
        <f>Taxes93106119132145158171[[#This Row],[Budgeted 
cost]]-Taxes93106119132145158171[[#This Row],[Actual 
cost]]</f>
        <v>0</v>
      </c>
    </row>
    <row r="40" spans="2:12">
      <c r="B40" s="18" t="s">
        <v>49</v>
      </c>
      <c r="C40" s="17"/>
      <c r="D40" s="17"/>
      <c r="E40" s="58"/>
      <c r="F40" s="17">
        <f>Food99112125138151164177[[#This Row],[Budgeted
cost]]-Food99112125138151164177[[#This Row],[Actual
cost]]</f>
        <v>0</v>
      </c>
      <c r="G40" s="13"/>
      <c r="H40" s="18" t="s">
        <v>31</v>
      </c>
      <c r="I40" s="19">
        <f>SUBTOTAL(109,Taxes93106119132145158171[Budgeted 
cost])</f>
        <v>0</v>
      </c>
      <c r="J40" s="19">
        <f>SUBTOTAL(109,Taxes93106119132145158171[Actual 
cost])</f>
        <v>0</v>
      </c>
      <c r="K40" s="61"/>
      <c r="L40" s="19">
        <f>SUBTOTAL(109,Taxes93106119132145158171[Difference])</f>
        <v>0</v>
      </c>
    </row>
    <row r="41" spans="2:12" ht="15">
      <c r="B41" s="18" t="s">
        <v>31</v>
      </c>
      <c r="C41" s="19">
        <f>SUBTOTAL(109,Food99112125138151164177[Budgeted
cost])</f>
        <v>0</v>
      </c>
      <c r="D41" s="19">
        <f>SUBTOTAL(109,Food99112125138151164177[Actual
cost])</f>
        <v>0</v>
      </c>
      <c r="E41" s="61"/>
      <c r="F41" s="19">
        <f>SUBTOTAL(109,Food99112125138151164177[Difference])</f>
        <v>0</v>
      </c>
      <c r="G41" s="13"/>
      <c r="H41" s="3"/>
      <c r="I41" s="4"/>
      <c r="J41" s="4"/>
      <c r="K41" s="65"/>
    </row>
    <row r="42" spans="2:12" ht="24.6">
      <c r="B42" s="5"/>
      <c r="C42" s="6"/>
      <c r="D42" s="6"/>
      <c r="E42" s="62"/>
      <c r="F42" s="13"/>
      <c r="G42" s="13"/>
      <c r="I42" s="20"/>
      <c r="J42" s="20"/>
      <c r="K42" s="59"/>
    </row>
    <row r="43" spans="2:12" ht="27.6">
      <c r="B43" s="22" t="s">
        <v>22</v>
      </c>
      <c r="C43" s="21" t="s">
        <v>9</v>
      </c>
      <c r="D43" s="21" t="s">
        <v>10</v>
      </c>
      <c r="E43" s="63" t="s">
        <v>37</v>
      </c>
      <c r="F43" s="21" t="s">
        <v>11</v>
      </c>
      <c r="G43" s="13"/>
      <c r="H43" s="22" t="s">
        <v>16</v>
      </c>
      <c r="I43" s="21" t="s">
        <v>9</v>
      </c>
      <c r="J43" s="23" t="s">
        <v>10</v>
      </c>
      <c r="K43" s="63" t="s">
        <v>37</v>
      </c>
      <c r="L43" s="21" t="s">
        <v>11</v>
      </c>
    </row>
    <row r="44" spans="2:12">
      <c r="B44" s="18" t="s">
        <v>54</v>
      </c>
      <c r="C44" s="17"/>
      <c r="D44" s="17"/>
      <c r="E44" s="58"/>
      <c r="F44" s="17">
        <f>Children98111124137150163176[[#This Row],[Budgeted
cost]]-Children98111124137150163176[[#This Row],[Actual
cost]]</f>
        <v>0</v>
      </c>
      <c r="H44" s="18" t="s">
        <v>77</v>
      </c>
      <c r="I44" s="17"/>
      <c r="J44" s="17"/>
      <c r="K44" s="58"/>
      <c r="L44" s="17">
        <f>Loans94107120133146159172[[#This Row],[Budgeted
cost]]-Loans94107120133146159172[[#This Row],[Actual
cost]]</f>
        <v>0</v>
      </c>
    </row>
    <row r="45" spans="2:12">
      <c r="B45" s="18" t="s">
        <v>58</v>
      </c>
      <c r="C45" s="17"/>
      <c r="D45" s="17"/>
      <c r="E45" s="58"/>
      <c r="F45" s="17">
        <f>Children98111124137150163176[[#This Row],[Budgeted
cost]]-Children98111124137150163176[[#This Row],[Actual
cost]]</f>
        <v>0</v>
      </c>
      <c r="G45" s="13"/>
      <c r="H45" s="18" t="s">
        <v>78</v>
      </c>
      <c r="I45" s="17"/>
      <c r="J45" s="17"/>
      <c r="K45" s="58"/>
      <c r="L45" s="17">
        <f>Loans94107120133146159172[[#This Row],[Budgeted
cost]]-Loans94107120133146159172[[#This Row],[Actual
cost]]</f>
        <v>0</v>
      </c>
    </row>
    <row r="46" spans="2:12">
      <c r="B46" s="18" t="s">
        <v>79</v>
      </c>
      <c r="C46" s="17"/>
      <c r="D46" s="17"/>
      <c r="E46" s="58"/>
      <c r="F46" s="17">
        <f>Children98111124137150163176[[#This Row],[Budgeted
cost]]-Children98111124137150163176[[#This Row],[Actual
cost]]</f>
        <v>0</v>
      </c>
      <c r="G46" s="13"/>
      <c r="H46" s="18" t="s">
        <v>80</v>
      </c>
      <c r="I46" s="17"/>
      <c r="J46" s="17"/>
      <c r="K46" s="58"/>
      <c r="L46" s="17">
        <f>Loans94107120133146159172[[#This Row],[Budgeted
cost]]-Loans94107120133146159172[[#This Row],[Actual
cost]]</f>
        <v>0</v>
      </c>
    </row>
    <row r="47" spans="2:12">
      <c r="B47" s="18" t="s">
        <v>81</v>
      </c>
      <c r="C47" s="17"/>
      <c r="D47" s="17"/>
      <c r="E47" s="58"/>
      <c r="F47" s="17">
        <f>Children98111124137150163176[[#This Row],[Budgeted
cost]]-Children98111124137150163176[[#This Row],[Actual
cost]]</f>
        <v>0</v>
      </c>
      <c r="G47" s="13"/>
      <c r="H47" s="18" t="s">
        <v>80</v>
      </c>
      <c r="I47" s="17"/>
      <c r="J47" s="17"/>
      <c r="K47" s="58"/>
      <c r="L47" s="17">
        <f>Loans94107120133146159172[[#This Row],[Budgeted
cost]]-Loans94107120133146159172[[#This Row],[Actual
cost]]</f>
        <v>0</v>
      </c>
    </row>
    <row r="48" spans="2:12">
      <c r="B48" s="18" t="s">
        <v>63</v>
      </c>
      <c r="C48" s="17"/>
      <c r="D48" s="17"/>
      <c r="E48" s="58"/>
      <c r="F48" s="17">
        <f>Children98111124137150163176[[#This Row],[Budgeted
cost]]-Children98111124137150163176[[#This Row],[Actual
cost]]</f>
        <v>0</v>
      </c>
      <c r="G48" s="13"/>
      <c r="H48" s="18" t="s">
        <v>80</v>
      </c>
      <c r="I48" s="17"/>
      <c r="J48" s="17"/>
      <c r="K48" s="58"/>
      <c r="L48" s="17">
        <f>Loans94107120133146159172[[#This Row],[Budgeted
cost]]-Loans94107120133146159172[[#This Row],[Actual
cost]]</f>
        <v>0</v>
      </c>
    </row>
    <row r="49" spans="2:12">
      <c r="B49" s="18" t="s">
        <v>82</v>
      </c>
      <c r="C49" s="17"/>
      <c r="D49" s="17"/>
      <c r="E49" s="58"/>
      <c r="F49" s="17">
        <f>Children98111124137150163176[[#This Row],[Budgeted
cost]]-Children98111124137150163176[[#This Row],[Actual
cost]]</f>
        <v>0</v>
      </c>
      <c r="G49" s="13"/>
      <c r="H49" s="18" t="s">
        <v>49</v>
      </c>
      <c r="I49" s="17"/>
      <c r="J49" s="17"/>
      <c r="K49" s="58"/>
      <c r="L49" s="17">
        <f>Loans94107120133146159172[[#This Row],[Budgeted
cost]]-Loans94107120133146159172[[#This Row],[Actual
cost]]</f>
        <v>0</v>
      </c>
    </row>
    <row r="50" spans="2:12">
      <c r="B50" s="18" t="s">
        <v>83</v>
      </c>
      <c r="C50" s="17"/>
      <c r="D50" s="17"/>
      <c r="E50" s="58"/>
      <c r="F50" s="17">
        <f>Children98111124137150163176[[#This Row],[Budgeted
cost]]-Children98111124137150163176[[#This Row],[Actual
cost]]</f>
        <v>0</v>
      </c>
      <c r="G50" s="13"/>
      <c r="H50" s="18" t="s">
        <v>49</v>
      </c>
      <c r="I50" s="17"/>
      <c r="J50" s="17"/>
      <c r="K50" s="58"/>
      <c r="L50" s="17">
        <f>Loans94107120133146159172[[#This Row],[Budgeted
cost]]-Loans94107120133146159172[[#This Row],[Actual
cost]]</f>
        <v>0</v>
      </c>
    </row>
    <row r="51" spans="2:12">
      <c r="B51" s="18" t="s">
        <v>84</v>
      </c>
      <c r="C51" s="17"/>
      <c r="D51" s="17"/>
      <c r="E51" s="58"/>
      <c r="F51" s="17">
        <f>Children98111124137150163176[[#This Row],[Budgeted
cost]]-Children98111124137150163176[[#This Row],[Actual
cost]]</f>
        <v>0</v>
      </c>
      <c r="G51" s="13"/>
      <c r="H51" s="18" t="s">
        <v>31</v>
      </c>
      <c r="I51" s="19">
        <f>SUBTOTAL(109,Loans94107120133146159172[Budgeted
cost])</f>
        <v>0</v>
      </c>
      <c r="J51" s="19">
        <f>SUBTOTAL(109,Loans94107120133146159172[Actual
cost])</f>
        <v>0</v>
      </c>
      <c r="K51" s="61"/>
      <c r="L51" s="19">
        <f>SUBTOTAL(109,Loans94107120133146159172[Difference])</f>
        <v>0</v>
      </c>
    </row>
    <row r="52" spans="2:12">
      <c r="B52" s="18" t="s">
        <v>49</v>
      </c>
      <c r="C52" s="17"/>
      <c r="D52" s="17"/>
      <c r="E52" s="58"/>
      <c r="F52" s="17">
        <f>Children98111124137150163176[[#This Row],[Budgeted
cost]]-Children98111124137150163176[[#This Row],[Actual
cost]]</f>
        <v>0</v>
      </c>
      <c r="G52" s="13"/>
    </row>
    <row r="53" spans="2:12" ht="17.45">
      <c r="B53" s="18" t="s">
        <v>49</v>
      </c>
      <c r="C53" s="17"/>
      <c r="D53" s="17"/>
      <c r="E53" s="58"/>
      <c r="F53" s="17">
        <f>Children98111124137150163176[[#This Row],[Budgeted
cost]]-Children98111124137150163176[[#This Row],[Actual
cost]]</f>
        <v>0</v>
      </c>
      <c r="G53" s="13"/>
      <c r="H53" s="7"/>
      <c r="I53" s="6"/>
      <c r="J53" s="6"/>
      <c r="K53" s="62"/>
    </row>
    <row r="54" spans="2:12">
      <c r="B54" s="18" t="s">
        <v>31</v>
      </c>
      <c r="C54" s="19">
        <f>SUBTOTAL(109,Children98111124137150163176[Budgeted
cost])</f>
        <v>0</v>
      </c>
      <c r="D54" s="19">
        <f>SUBTOTAL(109,Children98111124137150163176[Actual
cost])</f>
        <v>0</v>
      </c>
      <c r="E54" s="61"/>
      <c r="F54" s="19">
        <f>SUBTOTAL(109,Children98111124137150163176[Difference])</f>
        <v>0</v>
      </c>
      <c r="G54" s="13"/>
    </row>
    <row r="55" spans="2:12" ht="15">
      <c r="B55" s="5"/>
      <c r="C55" s="6"/>
      <c r="D55" s="6"/>
      <c r="E55" s="62"/>
      <c r="F55" s="13"/>
      <c r="G55" s="13"/>
    </row>
    <row r="56" spans="2:12" ht="27.6">
      <c r="B56" s="22" t="s">
        <v>25</v>
      </c>
      <c r="C56" s="21" t="s">
        <v>9</v>
      </c>
      <c r="D56" s="21" t="s">
        <v>10</v>
      </c>
      <c r="E56" s="63" t="s">
        <v>37</v>
      </c>
      <c r="F56" s="21" t="s">
        <v>11</v>
      </c>
      <c r="G56" s="14"/>
      <c r="H56" s="22" t="s">
        <v>30</v>
      </c>
      <c r="I56" s="21" t="s">
        <v>9</v>
      </c>
      <c r="J56" s="23" t="s">
        <v>10</v>
      </c>
      <c r="K56" s="63" t="s">
        <v>37</v>
      </c>
      <c r="L56" s="21" t="s">
        <v>11</v>
      </c>
    </row>
    <row r="57" spans="2:12">
      <c r="B57" s="18" t="s">
        <v>85</v>
      </c>
      <c r="C57" s="17"/>
      <c r="D57" s="17"/>
      <c r="E57" s="58"/>
      <c r="F57" s="17">
        <f>Legal90103116129142155168[[#This Row],[Budgeted
cost]]-Legal90103116129142155168[[#This Row],[Actual
cost]]</f>
        <v>0</v>
      </c>
      <c r="H57" s="18" t="s">
        <v>86</v>
      </c>
      <c r="I57" s="17"/>
      <c r="J57" s="17"/>
      <c r="K57" s="58"/>
      <c r="L57" s="17">
        <f>Gifts91104117130143156169[[#This Row],[Budgeted
cost]]-Gifts91104117130143156169[[#This Row],[Actual
cost]]</f>
        <v>0</v>
      </c>
    </row>
    <row r="58" spans="2:12">
      <c r="B58" s="18" t="s">
        <v>87</v>
      </c>
      <c r="C58" s="17"/>
      <c r="D58" s="17"/>
      <c r="E58" s="58"/>
      <c r="F58" s="17">
        <f>Legal90103116129142155168[[#This Row],[Budgeted
cost]]-Legal90103116129142155168[[#This Row],[Actual
cost]]</f>
        <v>0</v>
      </c>
      <c r="G58" s="13"/>
      <c r="H58" s="18" t="s">
        <v>88</v>
      </c>
      <c r="I58" s="17"/>
      <c r="J58" s="17"/>
      <c r="K58" s="58"/>
      <c r="L58" s="17">
        <f>Gifts91104117130143156169[[#This Row],[Budgeted
cost]]-Gifts91104117130143156169[[#This Row],[Actual
cost]]</f>
        <v>0</v>
      </c>
    </row>
    <row r="59" spans="2:12">
      <c r="B59" s="18" t="s">
        <v>89</v>
      </c>
      <c r="C59" s="17"/>
      <c r="D59" s="17"/>
      <c r="E59" s="58"/>
      <c r="F59" s="17">
        <f>Legal90103116129142155168[[#This Row],[Budgeted
cost]]-Legal90103116129142155168[[#This Row],[Actual
cost]]</f>
        <v>0</v>
      </c>
      <c r="G59" s="13"/>
      <c r="H59" s="18" t="s">
        <v>90</v>
      </c>
      <c r="I59" s="17"/>
      <c r="J59" s="17"/>
      <c r="K59" s="58"/>
      <c r="L59" s="17">
        <f>Gifts91104117130143156169[[#This Row],[Budgeted
cost]]-Gifts91104117130143156169[[#This Row],[Actual
cost]]</f>
        <v>0</v>
      </c>
    </row>
    <row r="60" spans="2:12">
      <c r="B60" s="18" t="s">
        <v>49</v>
      </c>
      <c r="C60" s="17"/>
      <c r="D60" s="17"/>
      <c r="E60" s="58"/>
      <c r="F60" s="17">
        <f>Legal90103116129142155168[[#This Row],[Budgeted
cost]]-Legal90103116129142155168[[#This Row],[Actual
cost]]</f>
        <v>0</v>
      </c>
      <c r="G60" s="13"/>
      <c r="H60" s="18" t="s">
        <v>31</v>
      </c>
      <c r="I60" s="19">
        <f>SUBTOTAL(109,Gifts91104117130143156169[Budgeted
cost])</f>
        <v>0</v>
      </c>
      <c r="J60" s="19">
        <f>SUBTOTAL(109,Gifts91104117130143156169[Actual
cost])</f>
        <v>0</v>
      </c>
      <c r="K60" s="64"/>
      <c r="L60" s="19">
        <f>SUBTOTAL(109,Gifts91104117130143156169[Difference])</f>
        <v>0</v>
      </c>
    </row>
    <row r="61" spans="2:12">
      <c r="B61" s="18" t="s">
        <v>49</v>
      </c>
      <c r="C61" s="17"/>
      <c r="D61" s="17"/>
      <c r="E61" s="58"/>
      <c r="F61" s="17">
        <f>Legal90103116129142155168[[#This Row],[Budgeted
cost]]-Legal90103116129142155168[[#This Row],[Actual
cost]]</f>
        <v>0</v>
      </c>
      <c r="G61" s="13"/>
    </row>
    <row r="62" spans="2:12">
      <c r="B62" s="18" t="s">
        <v>31</v>
      </c>
      <c r="C62" s="19">
        <f>SUBTOTAL(109,Legal90103116129142155168[Budgeted
cost])</f>
        <v>0</v>
      </c>
      <c r="D62" s="19">
        <f>SUBTOTAL(109,Legal90103116129142155168[Actual
cost])</f>
        <v>0</v>
      </c>
      <c r="E62" s="61"/>
      <c r="F62" s="19">
        <f>SUBTOTAL(109,Legal90103116129142155168[Difference])</f>
        <v>0</v>
      </c>
      <c r="G62" s="13"/>
    </row>
    <row r="63" spans="2:12" ht="24.6">
      <c r="E63" s="12"/>
      <c r="G63" s="15"/>
      <c r="I63" s="20"/>
      <c r="J63" s="20"/>
      <c r="K63" s="59"/>
    </row>
    <row r="64" spans="2:12" ht="27.6">
      <c r="B64" s="22" t="s">
        <v>19</v>
      </c>
      <c r="C64" s="21" t="s">
        <v>9</v>
      </c>
      <c r="D64" s="23" t="s">
        <v>10</v>
      </c>
      <c r="E64" s="63" t="s">
        <v>37</v>
      </c>
      <c r="F64" s="21" t="s">
        <v>11</v>
      </c>
      <c r="G64" s="14"/>
    </row>
    <row r="65" spans="2:10">
      <c r="B65" s="18" t="s">
        <v>91</v>
      </c>
      <c r="C65" s="17"/>
      <c r="D65" s="17"/>
      <c r="E65" s="58"/>
      <c r="F65" s="17">
        <f>Entertainment95108121134147160173[[#This Row],[Budgeted
cost]]-Entertainment95108121134147160173[[#This Row],[Actual
cost]]</f>
        <v>0</v>
      </c>
    </row>
    <row r="66" spans="2:10">
      <c r="B66" s="18" t="s">
        <v>92</v>
      </c>
      <c r="C66" s="17"/>
      <c r="D66" s="17"/>
      <c r="E66" s="58"/>
      <c r="F66" s="17">
        <f>Entertainment95108121134147160173[[#This Row],[Budgeted
cost]]-Entertainment95108121134147160173[[#This Row],[Actual
cost]]</f>
        <v>0</v>
      </c>
      <c r="G66" s="13"/>
    </row>
    <row r="67" spans="2:10">
      <c r="B67" s="18" t="s">
        <v>93</v>
      </c>
      <c r="C67" s="17"/>
      <c r="D67" s="17"/>
      <c r="E67" s="58"/>
      <c r="F67" s="17">
        <f>Entertainment95108121134147160173[[#This Row],[Budgeted
cost]]-Entertainment95108121134147160173[[#This Row],[Actual
cost]]</f>
        <v>0</v>
      </c>
      <c r="G67" s="13"/>
    </row>
    <row r="68" spans="2:10">
      <c r="B68" s="18" t="s">
        <v>94</v>
      </c>
      <c r="C68" s="17"/>
      <c r="D68" s="17"/>
      <c r="E68" s="58"/>
      <c r="F68" s="17">
        <f>Entertainment95108121134147160173[[#This Row],[Budgeted
cost]]-Entertainment95108121134147160173[[#This Row],[Actual
cost]]</f>
        <v>0</v>
      </c>
    </row>
    <row r="69" spans="2:10">
      <c r="B69" s="18" t="s">
        <v>95</v>
      </c>
      <c r="C69" s="17"/>
      <c r="D69" s="17"/>
      <c r="E69" s="58"/>
      <c r="F69" s="17">
        <f>Entertainment95108121134147160173[[#This Row],[Budgeted
cost]]-Entertainment95108121134147160173[[#This Row],[Actual
cost]]</f>
        <v>0</v>
      </c>
    </row>
    <row r="70" spans="2:10">
      <c r="B70" s="18" t="s">
        <v>96</v>
      </c>
      <c r="C70" s="17"/>
      <c r="D70" s="17"/>
      <c r="E70" s="58"/>
      <c r="F70" s="17">
        <f>Entertainment95108121134147160173[[#This Row],[Budgeted
cost]]-Entertainment95108121134147160173[[#This Row],[Actual
cost]]</f>
        <v>0</v>
      </c>
    </row>
    <row r="71" spans="2:10">
      <c r="B71" s="18" t="s">
        <v>49</v>
      </c>
      <c r="C71" s="17"/>
      <c r="D71" s="17"/>
      <c r="E71" s="58"/>
      <c r="F71" s="17">
        <f>Entertainment95108121134147160173[[#This Row],[Budgeted
cost]]-Entertainment95108121134147160173[[#This Row],[Actual
cost]]</f>
        <v>0</v>
      </c>
    </row>
    <row r="72" spans="2:10">
      <c r="B72" s="18" t="s">
        <v>31</v>
      </c>
      <c r="C72" s="19">
        <f>SUBTOTAL(109,Entertainment95108121134147160173[Budgeted
cost])</f>
        <v>0</v>
      </c>
      <c r="D72" s="19">
        <f>SUBTOTAL(109,Entertainment95108121134147160173[Actual
cost])</f>
        <v>0</v>
      </c>
      <c r="E72" s="64"/>
      <c r="F72" s="19">
        <f>SUBTOTAL(109,Entertainment95108121134147160173[Difference])</f>
        <v>0</v>
      </c>
      <c r="J72" s="16"/>
    </row>
    <row r="73" spans="2:10">
      <c r="E73" s="12"/>
    </row>
    <row r="74" spans="2:10">
      <c r="E74" s="12"/>
    </row>
  </sheetData>
  <conditionalFormatting sqref="B1:B14 F1:F14 G1:G25 H3:L10 H16:L24 B16:F26 G27:G33 H28:L33 B28:F34 H36:L40 B36:F42 G37:G43 H41:K41 H44:L51 B44:F55 G45:G56 H53:K53 H57:L60 B57:F62 G58:G64 B65:F72 G66:G67">
    <cfRule type="cellIs" dxfId="539" priority="3" operator="lessThan">
      <formula>0</formula>
    </cfRule>
  </conditionalFormatting>
  <conditionalFormatting sqref="B3:F13">
    <cfRule type="cellIs" dxfId="538" priority="2" operator="lessThan">
      <formula>0</formula>
    </cfRule>
  </conditionalFormatting>
  <conditionalFormatting sqref="F3:F12">
    <cfRule type="iconSet" priority="1">
      <iconSet iconSet="3Arrows">
        <cfvo type="percentile" val="0"/>
        <cfvo type="num" val="-50"/>
        <cfvo type="num" val="50"/>
      </iconSet>
    </cfRule>
  </conditionalFormatting>
  <conditionalFormatting sqref="L28:L32 L57:L59 F65:F71 L36:L39 F16:F24 L44:L50 F28:F32 F36:F40 F44:F53 L16:L23 F57:F61 L3:L9">
    <cfRule type="iconSet" priority="4">
      <iconSet iconSet="3Arrows">
        <cfvo type="percentile" val="0"/>
        <cfvo type="num" val="-50"/>
        <cfvo type="num" val="50"/>
      </iconSet>
    </cfRule>
  </conditionalFormatting>
  <dataValidations count="1">
    <dataValidation allowBlank="1" showInputMessage="1" showErrorMessage="1" prompt="Enter details in Transportation table below and in Insurance table starting in cell B30" sqref="G1:G14 B1:B12 B14" xr:uid="{55FDDF61-6222-4550-985D-7581CF65B7B6}"/>
  </dataValidations>
  <pageMargins left="0.7" right="0.7" top="0.75" bottom="0.75" header="0.3" footer="0.3"/>
  <pageSetup orientation="landscape" horizontalDpi="1200" verticalDpi="1200" r:id="rId1"/>
  <headerFooter>
    <oddFooter>&amp;C&amp;P&amp;R&amp;G</oddFooter>
  </headerFooter>
  <legacyDrawingHF r:id="rId2"/>
  <tableParts count="13">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D16A1-149F-46F4-95A1-F1576639EB2B}">
  <sheetPr>
    <tabColor theme="4"/>
  </sheetPr>
  <dimension ref="B1:J61"/>
  <sheetViews>
    <sheetView zoomScale="70" zoomScaleNormal="70" zoomScalePageLayoutView="70" workbookViewId="0">
      <selection activeCell="C3" sqref="C3:D3"/>
    </sheetView>
  </sheetViews>
  <sheetFormatPr defaultColWidth="9" defaultRowHeight="30" customHeight="1"/>
  <cols>
    <col min="1" max="1" width="1.25" customWidth="1"/>
    <col min="2" max="6" width="24.625" customWidth="1"/>
    <col min="7" max="7" width="7.75" customWidth="1"/>
    <col min="8" max="8" width="32.875" customWidth="1"/>
    <col min="9" max="9" width="32.875" style="2" customWidth="1"/>
    <col min="10" max="10" width="2.375" customWidth="1"/>
  </cols>
  <sheetData>
    <row r="1" spans="2:10" ht="77.25" customHeight="1">
      <c r="B1" s="113" t="s">
        <v>104</v>
      </c>
      <c r="C1" s="113"/>
      <c r="D1" s="113"/>
      <c r="E1" s="113"/>
      <c r="F1" s="113"/>
      <c r="G1" s="113"/>
      <c r="H1" s="113"/>
      <c r="I1" s="26"/>
      <c r="J1" s="27"/>
    </row>
    <row r="2" spans="2:10" ht="35.450000000000003">
      <c r="B2" s="54" t="s">
        <v>1</v>
      </c>
      <c r="C2" s="24" t="s">
        <v>2</v>
      </c>
      <c r="D2" s="55" t="s">
        <v>3</v>
      </c>
      <c r="E2" s="25" t="s">
        <v>4</v>
      </c>
      <c r="F2" s="1"/>
      <c r="H2" s="36"/>
      <c r="I2" s="26"/>
      <c r="J2" s="29"/>
    </row>
    <row r="3" spans="2:10" ht="35.450000000000003">
      <c r="B3" s="11"/>
      <c r="C3" s="76">
        <f>C19</f>
        <v>0</v>
      </c>
      <c r="D3" s="76">
        <f>D19</f>
        <v>0</v>
      </c>
      <c r="E3" s="78">
        <f>SUM(C3-D3)</f>
        <v>0</v>
      </c>
      <c r="F3" s="1"/>
      <c r="H3" s="36"/>
      <c r="I3" s="26"/>
      <c r="J3" s="29"/>
    </row>
    <row r="4" spans="2:10" ht="35.450000000000003">
      <c r="C4" s="33"/>
      <c r="D4" s="33"/>
      <c r="E4" s="33"/>
      <c r="F4" s="10"/>
      <c r="H4" s="36"/>
      <c r="I4" s="26"/>
      <c r="J4" s="29"/>
    </row>
    <row r="5" spans="2:10" ht="27.6">
      <c r="B5" s="79" t="s">
        <v>8</v>
      </c>
      <c r="C5" s="80" t="s">
        <v>9</v>
      </c>
      <c r="D5" s="80" t="s">
        <v>10</v>
      </c>
      <c r="E5" s="81" t="s">
        <v>11</v>
      </c>
      <c r="G5" s="10"/>
      <c r="H5" s="114" t="s">
        <v>33</v>
      </c>
      <c r="I5" s="115"/>
      <c r="J5" s="30"/>
    </row>
    <row r="6" spans="2:10" ht="15">
      <c r="B6" s="82" t="s">
        <v>13</v>
      </c>
      <c r="C6" s="83">
        <f>Housing[[#Totals],[Budgeted
cost]]</f>
        <v>0</v>
      </c>
      <c r="D6" s="83">
        <f>Housing[[#Totals],[Actual
cost]]</f>
        <v>0</v>
      </c>
      <c r="E6" s="84">
        <f>'September - Overview'!$C6-'September - Overview'!$D6</f>
        <v>0</v>
      </c>
      <c r="G6" s="10"/>
      <c r="H6" s="37" t="s">
        <v>6</v>
      </c>
      <c r="I6" s="38"/>
      <c r="J6" s="28"/>
    </row>
    <row r="7" spans="2:10" ht="15">
      <c r="B7" s="85" t="s">
        <v>15</v>
      </c>
      <c r="C7" s="73">
        <f>Transportation[[#Totals],[Budgeted
cost]]</f>
        <v>0</v>
      </c>
      <c r="D7" s="73">
        <f>Transportation[[#Totals],[Actual
cost]]</f>
        <v>0</v>
      </c>
      <c r="E7" s="86">
        <f>'September - Overview'!$C7-'September - Overview'!$D7</f>
        <v>0</v>
      </c>
      <c r="G7" s="10"/>
      <c r="H7" s="69" t="s">
        <v>7</v>
      </c>
      <c r="I7" s="71"/>
      <c r="J7" s="28"/>
    </row>
    <row r="8" spans="2:10" ht="15">
      <c r="B8" s="87" t="s">
        <v>16</v>
      </c>
      <c r="C8" s="72">
        <f>Loans[[#Totals],[Budgeted
cost]]</f>
        <v>0</v>
      </c>
      <c r="D8" s="72">
        <f>Loans[[#Totals],[Actual
cost]]</f>
        <v>0</v>
      </c>
      <c r="E8" s="88">
        <f>'September - Overview'!$C8-'September - Overview'!$D8</f>
        <v>0</v>
      </c>
      <c r="G8" s="10"/>
      <c r="H8" s="41" t="s">
        <v>12</v>
      </c>
      <c r="I8" s="38"/>
      <c r="J8" s="28"/>
    </row>
    <row r="9" spans="2:10" ht="17.45">
      <c r="B9" s="85" t="s">
        <v>18</v>
      </c>
      <c r="C9" s="73">
        <f>Insurance[[#Totals],[Budgeted
cost]]</f>
        <v>0</v>
      </c>
      <c r="D9" s="73">
        <f>Insurance[[#Totals],[Actual
cost]]</f>
        <v>0</v>
      </c>
      <c r="E9" s="86">
        <f>'September - Overview'!$C9-'September - Overview'!$D9</f>
        <v>0</v>
      </c>
      <c r="G9" s="10"/>
      <c r="H9" s="42" t="s">
        <v>14</v>
      </c>
      <c r="I9" s="43">
        <f>SUM(I6:I8)</f>
        <v>0</v>
      </c>
      <c r="J9" s="28"/>
    </row>
    <row r="10" spans="2:10" ht="15">
      <c r="B10" s="87" t="s">
        <v>19</v>
      </c>
      <c r="C10" s="72">
        <f>Entertainment[[#Totals],[Budgeted
cost]]</f>
        <v>0</v>
      </c>
      <c r="D10" s="72">
        <f>Entertainment[[#Totals],[Actual
cost]]</f>
        <v>0</v>
      </c>
      <c r="E10" s="88">
        <f>'September - Overview'!$C10-'September - Overview'!$D10</f>
        <v>0</v>
      </c>
      <c r="G10" s="10"/>
      <c r="H10" s="31"/>
      <c r="I10" s="31"/>
      <c r="J10" s="28"/>
    </row>
    <row r="11" spans="2:10" ht="24.6">
      <c r="B11" s="85" t="s">
        <v>20</v>
      </c>
      <c r="C11" s="94">
        <f>Food[[#Totals],[Budgeted
cost]]</f>
        <v>0</v>
      </c>
      <c r="D11" s="94">
        <f>Food[[#Totals],[Actual
cost]]</f>
        <v>0</v>
      </c>
      <c r="E11" s="95">
        <f>'September - Overview'!$C11-'September - Overview'!$D11</f>
        <v>0</v>
      </c>
      <c r="G11" s="10"/>
      <c r="H11" s="116" t="s">
        <v>34</v>
      </c>
      <c r="I11" s="117"/>
      <c r="J11" s="31"/>
    </row>
    <row r="12" spans="2:10" ht="15">
      <c r="B12" s="87" t="s">
        <v>21</v>
      </c>
      <c r="C12" s="96">
        <f>Taxes[[#Totals],[Budgeted 
cost]]</f>
        <v>0</v>
      </c>
      <c r="D12" s="96">
        <f>Taxes[[#Totals],[Actual 
cost]]</f>
        <v>0</v>
      </c>
      <c r="E12" s="97">
        <f>'September - Overview'!$C12-'September - Overview'!$D12</f>
        <v>0</v>
      </c>
      <c r="G12" s="10"/>
      <c r="H12" s="41" t="s">
        <v>6</v>
      </c>
      <c r="I12" s="44"/>
      <c r="J12" s="30"/>
    </row>
    <row r="13" spans="2:10" ht="15">
      <c r="B13" s="85" t="s">
        <v>22</v>
      </c>
      <c r="C13" s="98">
        <f>Children[[#Totals],[Budgeted
cost]]</f>
        <v>0</v>
      </c>
      <c r="D13" s="98">
        <f>Children[[#Totals],[Actual
cost]]</f>
        <v>0</v>
      </c>
      <c r="E13" s="99">
        <f>'September - Overview'!$C13-'September - Overview'!$D13</f>
        <v>0</v>
      </c>
      <c r="G13" s="10"/>
      <c r="H13" s="69" t="s">
        <v>7</v>
      </c>
      <c r="I13" s="70"/>
      <c r="J13" s="28"/>
    </row>
    <row r="14" spans="2:10" ht="15">
      <c r="B14" s="87" t="s">
        <v>23</v>
      </c>
      <c r="C14" s="100">
        <f>PersonalCare[[#Totals],[Budgeted
cost]]</f>
        <v>0</v>
      </c>
      <c r="D14" s="100">
        <f>PersonalCare[[#Totals],[Actual
cost]]</f>
        <v>0</v>
      </c>
      <c r="E14" s="101">
        <f>'September - Overview'!$C14-'September - Overview'!$D14</f>
        <v>0</v>
      </c>
      <c r="G14" s="10"/>
      <c r="H14" s="41" t="s">
        <v>12</v>
      </c>
      <c r="I14" s="44"/>
      <c r="J14" s="28"/>
    </row>
    <row r="15" spans="2:10" ht="17.45">
      <c r="B15" s="85" t="s">
        <v>25</v>
      </c>
      <c r="C15" s="94">
        <f>Legal[[#Totals],[Budgeted
cost]]</f>
        <v>0</v>
      </c>
      <c r="D15" s="94">
        <f>Legal[[#Totals],[Actual
cost]]</f>
        <v>0</v>
      </c>
      <c r="E15" s="95">
        <f>'September - Overview'!$C15-'September - Overview'!$D15</f>
        <v>0</v>
      </c>
      <c r="G15" s="10"/>
      <c r="H15" s="46" t="s">
        <v>14</v>
      </c>
      <c r="I15" s="47">
        <f>SUM(I12:I14)</f>
        <v>0</v>
      </c>
      <c r="J15" s="28"/>
    </row>
    <row r="16" spans="2:10" ht="15">
      <c r="B16" s="87" t="s">
        <v>27</v>
      </c>
      <c r="C16" s="96">
        <f>Pets[[#Totals],[Budgeted
cost]]</f>
        <v>0</v>
      </c>
      <c r="D16" s="96">
        <f>Pets[[#Totals],[Actual
cost]]</f>
        <v>0</v>
      </c>
      <c r="E16" s="97">
        <f>'September - Overview'!$C16-'September - Overview'!$D16</f>
        <v>0</v>
      </c>
      <c r="G16" s="10"/>
      <c r="H16" s="31"/>
      <c r="I16" s="31"/>
      <c r="J16" s="28"/>
    </row>
    <row r="17" spans="2:10" ht="24.6">
      <c r="B17" s="85" t="s">
        <v>29</v>
      </c>
      <c r="C17" s="73">
        <f>Savings[[#Totals],[Budgeted
cost]]</f>
        <v>0</v>
      </c>
      <c r="D17" s="73">
        <f>Savings[[#Totals],[Actual
cost]]</f>
        <v>0</v>
      </c>
      <c r="E17" s="86">
        <f>'September - Overview'!$C17-'September - Overview'!$D17</f>
        <v>0</v>
      </c>
      <c r="F17" s="10"/>
      <c r="G17" s="8"/>
      <c r="H17" s="118" t="s">
        <v>24</v>
      </c>
      <c r="I17" s="119"/>
      <c r="J17" s="29"/>
    </row>
    <row r="18" spans="2:10" ht="15.6" thickBot="1">
      <c r="B18" s="87" t="s">
        <v>30</v>
      </c>
      <c r="C18" s="72">
        <f>Gifts[[#Totals],[Budgeted
cost]]</f>
        <v>0</v>
      </c>
      <c r="D18" s="72">
        <f>Gifts[[#Totals],[Actual
cost]]</f>
        <v>0</v>
      </c>
      <c r="E18" s="88">
        <f>'September - Overview'!$C18-'September - Overview'!$D18</f>
        <v>0</v>
      </c>
      <c r="F18" s="34"/>
      <c r="G18" s="35"/>
      <c r="H18" s="48" t="s">
        <v>35</v>
      </c>
      <c r="I18" s="49">
        <f>SUM(I9-'September - Overview'!$C$3:$C$3)</f>
        <v>0</v>
      </c>
      <c r="J18" s="29"/>
    </row>
    <row r="19" spans="2:10" s="32" customFormat="1" ht="25.15" thickTop="1">
      <c r="B19" s="91" t="s">
        <v>31</v>
      </c>
      <c r="C19" s="92">
        <f>SUBTOTAL(109,'September - Overview'!$C$6:$C$18)</f>
        <v>0</v>
      </c>
      <c r="D19" s="92">
        <f>SUBTOTAL(109,'September - Overview'!$D$6:$D$18)</f>
        <v>0</v>
      </c>
      <c r="E19" s="93">
        <f>SUBTOTAL(109,'September - Overview'!$E$6:$E$18)</f>
        <v>0</v>
      </c>
      <c r="H19" s="67" t="s">
        <v>36</v>
      </c>
      <c r="I19" s="68">
        <f>SUM(I15-D3)</f>
        <v>0</v>
      </c>
    </row>
    <row r="20" spans="2:10" ht="17.45">
      <c r="H20" s="52" t="s">
        <v>11</v>
      </c>
      <c r="I20" s="53">
        <f>SUM(I19-I18)</f>
        <v>0</v>
      </c>
    </row>
    <row r="21" spans="2:10" ht="30" customHeight="1">
      <c r="H21" s="8"/>
      <c r="I21" s="9"/>
    </row>
    <row r="22" spans="2:10" ht="30" customHeight="1">
      <c r="I22"/>
    </row>
    <row r="23" spans="2:10" ht="30" customHeight="1">
      <c r="I23"/>
    </row>
    <row r="24" spans="2:10" ht="30" customHeight="1">
      <c r="I24"/>
    </row>
    <row r="25" spans="2:10" ht="30" customHeight="1">
      <c r="I25"/>
    </row>
    <row r="26" spans="2:10" ht="30" customHeight="1">
      <c r="I26"/>
    </row>
    <row r="27" spans="2:10" ht="37.9" customHeight="1">
      <c r="I27"/>
    </row>
    <row r="28" spans="2:10" ht="30" customHeight="1">
      <c r="I28"/>
    </row>
    <row r="29" spans="2:10" ht="48" customHeight="1">
      <c r="I29"/>
    </row>
    <row r="30" spans="2:10" ht="30" customHeight="1">
      <c r="I30"/>
    </row>
    <row r="31" spans="2:10" ht="30" customHeight="1">
      <c r="I31"/>
    </row>
    <row r="32" spans="2:10" ht="30" customHeight="1">
      <c r="I32"/>
    </row>
    <row r="33" spans="9:9" ht="30" customHeight="1">
      <c r="I33"/>
    </row>
    <row r="34" spans="9:9" ht="30" customHeight="1">
      <c r="I34"/>
    </row>
    <row r="35" spans="9:9" ht="30" customHeight="1">
      <c r="I35"/>
    </row>
    <row r="36" spans="9:9" ht="30" customHeight="1">
      <c r="I36"/>
    </row>
    <row r="37" spans="9:9" ht="30" customHeight="1">
      <c r="I37"/>
    </row>
    <row r="38" spans="9:9" ht="30" customHeight="1">
      <c r="I38"/>
    </row>
    <row r="39" spans="9:9" ht="30" customHeight="1">
      <c r="I39"/>
    </row>
    <row r="40" spans="9:9" ht="37.9" customHeight="1">
      <c r="I40"/>
    </row>
    <row r="41" spans="9:9" ht="30" customHeight="1">
      <c r="I41"/>
    </row>
    <row r="42" spans="9:9" ht="48" customHeight="1">
      <c r="I42"/>
    </row>
    <row r="43" spans="9:9" ht="30" customHeight="1">
      <c r="I43"/>
    </row>
    <row r="44" spans="9:9" ht="30" customHeight="1">
      <c r="I44"/>
    </row>
    <row r="45" spans="9:9" ht="30" customHeight="1">
      <c r="I45"/>
    </row>
    <row r="46" spans="9:9" ht="30" customHeight="1">
      <c r="I46"/>
    </row>
    <row r="47" spans="9:9" ht="30" customHeight="1">
      <c r="I47"/>
    </row>
    <row r="48" spans="9:9" ht="30" customHeight="1">
      <c r="I48"/>
    </row>
    <row r="49" spans="9:9" ht="37.9" customHeight="1">
      <c r="I49"/>
    </row>
    <row r="50" spans="9:9" ht="30" customHeight="1">
      <c r="I50"/>
    </row>
    <row r="51" spans="9:9" ht="48" customHeight="1">
      <c r="I51"/>
    </row>
    <row r="52" spans="9:9" ht="30" customHeight="1">
      <c r="I52"/>
    </row>
    <row r="53" spans="9:9" ht="30" customHeight="1">
      <c r="I53"/>
    </row>
    <row r="54" spans="9:9" ht="30" customHeight="1">
      <c r="I54"/>
    </row>
    <row r="55" spans="9:9" ht="30" customHeight="1">
      <c r="I55"/>
    </row>
    <row r="56" spans="9:9" ht="30" customHeight="1">
      <c r="I56"/>
    </row>
    <row r="57" spans="9:9" ht="30" customHeight="1">
      <c r="I57"/>
    </row>
    <row r="58" spans="9:9" ht="30" customHeight="1">
      <c r="I58"/>
    </row>
    <row r="59" spans="9:9" ht="30" customHeight="1">
      <c r="I59"/>
    </row>
    <row r="60" spans="9:9" ht="30" customHeight="1">
      <c r="I60"/>
    </row>
    <row r="61" spans="9:9" ht="30" customHeight="1">
      <c r="I61"/>
    </row>
  </sheetData>
  <mergeCells count="4">
    <mergeCell ref="B1:H1"/>
    <mergeCell ref="H5:I5"/>
    <mergeCell ref="H11:I11"/>
    <mergeCell ref="H17:I17"/>
  </mergeCells>
  <conditionalFormatting sqref="B1 I1:J4 B2:F2 B3 E3:F3 F4 H5:H6 G5:G16 J5:J18 I6 H7:I10 H11 H12:I15 H16:H17 F17:G18 H18:I21">
    <cfRule type="cellIs" dxfId="439" priority="5" operator="lessThan">
      <formula>0</formula>
    </cfRule>
  </conditionalFormatting>
  <conditionalFormatting sqref="B6:E19">
    <cfRule type="cellIs" dxfId="438" priority="1" operator="lessThan">
      <formula>0</formula>
    </cfRule>
  </conditionalFormatting>
  <conditionalFormatting sqref="C3:D3">
    <cfRule type="cellIs" dxfId="437" priority="4" operator="lessThan">
      <formula>0</formula>
    </cfRule>
  </conditionalFormatting>
  <conditionalFormatting sqref="E3">
    <cfRule type="iconSet" priority="3">
      <iconSet iconSet="3Arrows">
        <cfvo type="percentile" val="0"/>
        <cfvo type="num" val="-50"/>
        <cfvo type="num" val="50"/>
      </iconSet>
    </cfRule>
  </conditionalFormatting>
  <conditionalFormatting sqref="E6:E18">
    <cfRule type="iconSet" priority="2">
      <iconSet iconSet="3Arrows">
        <cfvo type="percentile" val="0"/>
        <cfvo type="num" val="-50"/>
        <cfvo type="num" val="50"/>
      </iconSet>
    </cfRule>
  </conditionalFormatting>
  <conditionalFormatting sqref="I20:I21">
    <cfRule type="iconSet" priority="6">
      <iconSet iconSet="3Arrows">
        <cfvo type="percentile" val="0"/>
        <cfvo type="num" val="-50"/>
        <cfvo type="num" val="50"/>
      </iconSet>
    </cfRule>
  </conditionalFormatting>
  <dataValidations count="11">
    <dataValidation allowBlank="1" showInputMessage="1" showErrorMessage="1" prompt="Total Projected, Actual, and Difference is auto calculated in this table" sqref="B2" xr:uid="{A35372F8-6D57-4759-B0AE-F3F912B85D36}"/>
    <dataValidation allowBlank="1" showInputMessage="1" showErrorMessage="1" prompt="Balance is in this column under this heading" sqref="H17" xr:uid="{EE658A27-A960-4A12-94E6-29187E2EA070}"/>
    <dataValidation allowBlank="1" showInputMessage="1" showErrorMessage="1" prompt="Balance table below is auto updated" sqref="H16" xr:uid="{8382ABBE-4D6F-4055-8FFF-CDDB67B9DA68}"/>
    <dataValidation allowBlank="1" showInputMessage="1" showErrorMessage="1" prompt="Enter Actual Monthly Income Source in this column under this heading" sqref="H11" xr:uid="{64690688-B5B0-4E98-BFBB-995F6FA49E40}"/>
    <dataValidation allowBlank="1" showInputMessage="1" showErrorMessage="1" prompt="Enter details in Actual Monthly Income table below" sqref="H10" xr:uid="{800772D4-E084-47EB-A22D-C8995A86F587}"/>
    <dataValidation allowBlank="1" showInputMessage="1" showErrorMessage="1" prompt="Enter Projected Monthly Income Source in this column under this heading" sqref="H5" xr:uid="{B1803E77-D02C-40E7-AC4B-D2934B6A8F01}"/>
    <dataValidation allowBlank="1" showInputMessage="1" showErrorMessage="1" prompt="Total Difference is auto calculated in cell below" sqref="E2" xr:uid="{7E3D5FA9-571A-4508-A241-3A1A2CE791EC}"/>
    <dataValidation allowBlank="1" showInputMessage="1" showErrorMessage="1" prompt="Total Actual Cost is auto calculated in cell below" sqref="D2" xr:uid="{FF9BA7AA-1F65-438B-9545-FA5EEC56FEB2}"/>
    <dataValidation allowBlank="1" showInputMessage="1" showErrorMessage="1" prompt="Total Projected Cost is auto calculated in cell below" sqref="C2" xr:uid="{3361368B-6B88-4E41-B781-11424267A764}"/>
    <dataValidation allowBlank="1" showInputMessage="1" showErrorMessage="1" prompt="Title of this worksheet is in this cell. Summary is in table below. Sample expense categories are in separate tables starting in B5. Enter income amounts starting in cell G2" sqref="B1" xr:uid="{5B22E870-11DB-41FB-AA57-B9308FD5256F}"/>
    <dataValidation allowBlank="1" showInputMessage="1" showErrorMessage="1" prompt="Create a Family Budget Planner in this worksheet. Enter details in tables. Total Projected and Actual Costs, Projected and Actual Balance, and Difference are auto calculated" sqref="A1" xr:uid="{34852A2F-DA87-4288-B4AC-C179839C282C}"/>
  </dataValidations>
  <printOptions horizontalCentered="1"/>
  <pageMargins left="0.23622047244094491" right="0.23622047244094491" top="0.51181102362204722" bottom="0.51181102362204722" header="0.51181102362204722" footer="0.51181102362204722"/>
  <pageSetup scale="60" orientation="landscape" r:id="rId1"/>
  <headerFooter alignWithMargins="0"/>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20BDA-C5AC-4D75-B48A-24F2D74D4923}">
  <sheetPr>
    <tabColor theme="2" tint="-9.9978637043366805E-2"/>
  </sheetPr>
  <dimension ref="B1:L74"/>
  <sheetViews>
    <sheetView topLeftCell="A9" zoomScale="70" zoomScaleNormal="70" workbookViewId="0">
      <selection activeCell="I36" sqref="I36"/>
    </sheetView>
  </sheetViews>
  <sheetFormatPr defaultColWidth="9" defaultRowHeight="13.9"/>
  <cols>
    <col min="1" max="1" width="2.375" style="12" customWidth="1"/>
    <col min="2" max="2" width="29.75" style="12" bestFit="1" customWidth="1"/>
    <col min="3" max="3" width="13.5" style="12" bestFit="1" customWidth="1"/>
    <col min="4" max="4" width="10.25" style="12" bestFit="1" customWidth="1"/>
    <col min="5" max="5" width="14.875" style="66" bestFit="1" customWidth="1"/>
    <col min="6" max="6" width="14.25" style="12" bestFit="1" customWidth="1"/>
    <col min="7" max="7" width="5.5" style="12" customWidth="1"/>
    <col min="8" max="8" width="28.125" style="12" bestFit="1" customWidth="1"/>
    <col min="9" max="9" width="13.5" style="12" bestFit="1" customWidth="1"/>
    <col min="10" max="10" width="10.25" style="12" bestFit="1" customWidth="1"/>
    <col min="11" max="11" width="12.875" style="12" bestFit="1" customWidth="1"/>
    <col min="12" max="12" width="14.25" style="12" bestFit="1" customWidth="1"/>
    <col min="13" max="16384" width="9" style="12"/>
  </cols>
  <sheetData>
    <row r="1" spans="2:12" ht="15" customHeight="1">
      <c r="B1" s="56"/>
      <c r="C1" s="56"/>
      <c r="D1" s="56"/>
      <c r="E1" s="74"/>
      <c r="F1" s="75"/>
      <c r="G1" s="56"/>
      <c r="H1" s="56"/>
      <c r="I1" s="56"/>
      <c r="J1" s="56"/>
    </row>
    <row r="2" spans="2:12" ht="15" customHeight="1">
      <c r="B2" s="22" t="s">
        <v>13</v>
      </c>
      <c r="C2" s="21" t="s">
        <v>9</v>
      </c>
      <c r="D2" s="21" t="s">
        <v>10</v>
      </c>
      <c r="E2" s="57" t="s">
        <v>37</v>
      </c>
      <c r="F2" s="21" t="s">
        <v>11</v>
      </c>
      <c r="G2" s="56"/>
      <c r="H2" s="22" t="s">
        <v>29</v>
      </c>
      <c r="I2" s="21" t="s">
        <v>9</v>
      </c>
      <c r="J2" s="21" t="s">
        <v>10</v>
      </c>
      <c r="K2" s="63" t="s">
        <v>37</v>
      </c>
      <c r="L2" s="21" t="s">
        <v>11</v>
      </c>
    </row>
    <row r="3" spans="2:12" ht="15" customHeight="1">
      <c r="B3" s="18" t="s">
        <v>38</v>
      </c>
      <c r="C3" s="17"/>
      <c r="D3" s="17"/>
      <c r="E3" s="58"/>
      <c r="F3" s="17">
        <f>Housing102115128141154167180193[[#This Row],[Budgeted
cost]]-Housing102115128141154167180193[[#This Row],[Actual
cost]]</f>
        <v>0</v>
      </c>
      <c r="G3" s="56"/>
      <c r="H3" s="18" t="s">
        <v>39</v>
      </c>
      <c r="I3" s="17"/>
      <c r="J3" s="17"/>
      <c r="K3" s="58"/>
      <c r="L3" s="17">
        <f>Savings92105118131144157170183[[#This Row],[Budgeted
cost]]-Savings92105118131144157170183[[#This Row],[Actual
cost]]</f>
        <v>0</v>
      </c>
    </row>
    <row r="4" spans="2:12" ht="15" customHeight="1">
      <c r="B4" s="18" t="s">
        <v>40</v>
      </c>
      <c r="C4" s="17"/>
      <c r="D4" s="17"/>
      <c r="E4" s="58"/>
      <c r="F4" s="17">
        <f>Housing102115128141154167180193[[#This Row],[Budgeted
cost]]-Housing102115128141154167180193[[#This Row],[Actual
cost]]</f>
        <v>0</v>
      </c>
      <c r="G4" s="56"/>
      <c r="H4" s="18" t="s">
        <v>41</v>
      </c>
      <c r="I4" s="17"/>
      <c r="J4" s="17"/>
      <c r="K4" s="58"/>
      <c r="L4" s="17">
        <f>Savings92105118131144157170183[[#This Row],[Budgeted
cost]]-Savings92105118131144157170183[[#This Row],[Actual
cost]]</f>
        <v>0</v>
      </c>
    </row>
    <row r="5" spans="2:12" ht="15" customHeight="1">
      <c r="B5" s="18" t="s">
        <v>42</v>
      </c>
      <c r="C5" s="17"/>
      <c r="D5" s="17"/>
      <c r="E5" s="58"/>
      <c r="F5" s="17">
        <f>Housing102115128141154167180193[[#This Row],[Budgeted
cost]]-Housing102115128141154167180193[[#This Row],[Actual
cost]]</f>
        <v>0</v>
      </c>
      <c r="G5" s="56"/>
      <c r="H5" s="18" t="s">
        <v>43</v>
      </c>
      <c r="I5" s="17"/>
      <c r="J5" s="17"/>
      <c r="K5" s="58"/>
      <c r="L5" s="17">
        <f>Savings92105118131144157170183[[#This Row],[Budgeted
cost]]-Savings92105118131144157170183[[#This Row],[Actual
cost]]</f>
        <v>0</v>
      </c>
    </row>
    <row r="6" spans="2:12" ht="15" customHeight="1">
      <c r="B6" s="18" t="s">
        <v>44</v>
      </c>
      <c r="C6" s="17"/>
      <c r="D6" s="17"/>
      <c r="E6" s="58"/>
      <c r="F6" s="17">
        <f>Housing102115128141154167180193[[#This Row],[Budgeted
cost]]-Housing102115128141154167180193[[#This Row],[Actual
cost]]</f>
        <v>0</v>
      </c>
      <c r="G6" s="56"/>
      <c r="H6" s="18" t="s">
        <v>45</v>
      </c>
      <c r="I6" s="17"/>
      <c r="J6" s="17"/>
      <c r="K6" s="58"/>
      <c r="L6" s="17">
        <f>Savings92105118131144157170183[[#This Row],[Budgeted
cost]]-Savings92105118131144157170183[[#This Row],[Actual
cost]]</f>
        <v>0</v>
      </c>
    </row>
    <row r="7" spans="2:12" ht="15" customHeight="1">
      <c r="B7" s="18" t="s">
        <v>46</v>
      </c>
      <c r="C7" s="17"/>
      <c r="D7" s="17"/>
      <c r="E7" s="58"/>
      <c r="F7" s="17">
        <f>Housing102115128141154167180193[[#This Row],[Budgeted
cost]]-Housing102115128141154167180193[[#This Row],[Actual
cost]]</f>
        <v>0</v>
      </c>
      <c r="G7" s="56"/>
      <c r="H7" s="18" t="s">
        <v>47</v>
      </c>
      <c r="I7" s="17"/>
      <c r="J7" s="17"/>
      <c r="K7" s="58"/>
      <c r="L7" s="17">
        <f>Savings92105118131144157170183[[#This Row],[Budgeted
cost]]-Savings92105118131144157170183[[#This Row],[Actual
cost]]</f>
        <v>0</v>
      </c>
    </row>
    <row r="8" spans="2:12" ht="15" customHeight="1">
      <c r="B8" s="18" t="s">
        <v>48</v>
      </c>
      <c r="C8" s="17"/>
      <c r="D8" s="17"/>
      <c r="E8" s="58"/>
      <c r="F8" s="17">
        <f>Housing102115128141154167180193[[#This Row],[Budgeted
cost]]-Housing102115128141154167180193[[#This Row],[Actual
cost]]</f>
        <v>0</v>
      </c>
      <c r="G8" s="56"/>
      <c r="H8" s="18" t="s">
        <v>49</v>
      </c>
      <c r="I8" s="17"/>
      <c r="J8" s="17"/>
      <c r="K8" s="58"/>
      <c r="L8" s="17">
        <f>Savings92105118131144157170183[[#This Row],[Budgeted
cost]]-Savings92105118131144157170183[[#This Row],[Actual
cost]]</f>
        <v>0</v>
      </c>
    </row>
    <row r="9" spans="2:12" ht="15" customHeight="1">
      <c r="B9" s="18" t="s">
        <v>50</v>
      </c>
      <c r="C9" s="17"/>
      <c r="D9" s="17"/>
      <c r="E9" s="58"/>
      <c r="F9" s="17">
        <f>Housing102115128141154167180193[[#This Row],[Budgeted
cost]]-Housing102115128141154167180193[[#This Row],[Actual
cost]]</f>
        <v>0</v>
      </c>
      <c r="G9" s="56"/>
      <c r="H9" s="18" t="s">
        <v>49</v>
      </c>
      <c r="I9" s="17"/>
      <c r="J9" s="17"/>
      <c r="K9" s="58"/>
      <c r="L9" s="17">
        <f>Savings92105118131144157170183[[#This Row],[Budgeted
cost]]-Savings92105118131144157170183[[#This Row],[Actual
cost]]</f>
        <v>0</v>
      </c>
    </row>
    <row r="10" spans="2:12" ht="15" customHeight="1">
      <c r="B10" s="18" t="s">
        <v>51</v>
      </c>
      <c r="C10" s="17"/>
      <c r="D10" s="17"/>
      <c r="E10" s="58"/>
      <c r="F10" s="17">
        <f>Housing102115128141154167180193[[#This Row],[Budgeted
cost]]-Housing102115128141154167180193[[#This Row],[Actual
cost]]</f>
        <v>0</v>
      </c>
      <c r="G10" s="56"/>
      <c r="H10" s="18" t="s">
        <v>31</v>
      </c>
      <c r="I10" s="19">
        <f>SUBTOTAL(109,Savings92105118131144157170183[Budgeted
cost])</f>
        <v>0</v>
      </c>
      <c r="J10" s="19">
        <f>SUBTOTAL(109,Savings92105118131144157170183[Actual
cost])</f>
        <v>0</v>
      </c>
      <c r="K10" s="61"/>
      <c r="L10" s="19">
        <f>SUBTOTAL(109,Savings92105118131144157170183[Difference])</f>
        <v>0</v>
      </c>
    </row>
    <row r="11" spans="2:12" ht="15" customHeight="1">
      <c r="B11" s="18" t="s">
        <v>52</v>
      </c>
      <c r="C11" s="17"/>
      <c r="D11" s="17"/>
      <c r="E11" s="58"/>
      <c r="F11" s="17">
        <f>Housing102115128141154167180193[[#This Row],[Budgeted
cost]]-Housing102115128141154167180193[[#This Row],[Actual
cost]]</f>
        <v>0</v>
      </c>
      <c r="G11" s="56"/>
      <c r="H11" s="56"/>
      <c r="I11" s="56"/>
      <c r="J11" s="56"/>
    </row>
    <row r="12" spans="2:12" ht="15" customHeight="1">
      <c r="B12" s="18" t="s">
        <v>49</v>
      </c>
      <c r="C12" s="17"/>
      <c r="D12" s="17"/>
      <c r="E12" s="58"/>
      <c r="F12" s="17">
        <f>Housing102115128141154167180193[[#This Row],[Budgeted
cost]]-Housing102115128141154167180193[[#This Row],[Actual
cost]]</f>
        <v>0</v>
      </c>
      <c r="G12" s="56"/>
    </row>
    <row r="13" spans="2:12" ht="15" customHeight="1">
      <c r="B13" s="18" t="s">
        <v>31</v>
      </c>
      <c r="C13" s="19">
        <f>SUBTOTAL(109,Housing102115128141154167180193[Budgeted
cost])</f>
        <v>0</v>
      </c>
      <c r="D13" s="19">
        <f>SUBTOTAL(109,Housing102115128141154167180193[Actual
cost])</f>
        <v>0</v>
      </c>
      <c r="E13"/>
      <c r="F13" s="19">
        <f>SUBTOTAL(109,Housing102115128141154167180193[Difference])</f>
        <v>0</v>
      </c>
      <c r="G13" s="56"/>
    </row>
    <row r="14" spans="2:12" ht="15" customHeight="1">
      <c r="B14" s="56"/>
      <c r="C14" s="56"/>
      <c r="D14" s="56"/>
      <c r="E14" s="74"/>
      <c r="F14" s="75"/>
      <c r="G14" s="56"/>
    </row>
    <row r="15" spans="2:12" ht="27.6">
      <c r="B15" s="22" t="s">
        <v>15</v>
      </c>
      <c r="C15" s="21" t="s">
        <v>9</v>
      </c>
      <c r="D15" s="21" t="s">
        <v>10</v>
      </c>
      <c r="E15" s="60" t="s">
        <v>37</v>
      </c>
      <c r="F15" s="21" t="s">
        <v>11</v>
      </c>
      <c r="G15" s="13"/>
      <c r="H15" s="22" t="s">
        <v>23</v>
      </c>
      <c r="I15" s="21" t="s">
        <v>9</v>
      </c>
      <c r="J15" s="23" t="s">
        <v>10</v>
      </c>
      <c r="K15" s="63" t="s">
        <v>37</v>
      </c>
      <c r="L15" s="21" t="s">
        <v>11</v>
      </c>
    </row>
    <row r="16" spans="2:12">
      <c r="B16" s="18" t="s">
        <v>53</v>
      </c>
      <c r="C16" s="17"/>
      <c r="D16" s="17"/>
      <c r="E16" s="58"/>
      <c r="F16" s="17">
        <f>Transportation101114127140153166179192[[#This Row],[Budgeted
cost]]-Transportation101114127140153166179192[[#This Row],[Actual
cost]]</f>
        <v>0</v>
      </c>
      <c r="G16" s="13"/>
      <c r="H16" s="18" t="s">
        <v>54</v>
      </c>
      <c r="I16" s="17"/>
      <c r="J16" s="17"/>
      <c r="K16" s="58"/>
      <c r="L16" s="17">
        <f>PersonalCare96109122135148161174187[[#This Row],[Budgeted
cost]]-PersonalCare96109122135148161174187[[#This Row],[Actual
cost]]</f>
        <v>0</v>
      </c>
    </row>
    <row r="17" spans="2:12">
      <c r="B17" s="18" t="s">
        <v>55</v>
      </c>
      <c r="C17" s="17"/>
      <c r="D17" s="17"/>
      <c r="E17" s="58"/>
      <c r="F17" s="17">
        <f>Transportation101114127140153166179192[[#This Row],[Budgeted
cost]]-Transportation101114127140153166179192[[#This Row],[Actual
cost]]</f>
        <v>0</v>
      </c>
      <c r="G17" s="13"/>
      <c r="H17" s="18" t="s">
        <v>56</v>
      </c>
      <c r="I17" s="17"/>
      <c r="J17" s="17"/>
      <c r="K17" s="58"/>
      <c r="L17" s="17">
        <f>PersonalCare96109122135148161174187[[#This Row],[Budgeted
cost]]-PersonalCare96109122135148161174187[[#This Row],[Actual
cost]]</f>
        <v>0</v>
      </c>
    </row>
    <row r="18" spans="2:12">
      <c r="B18" s="18" t="s">
        <v>57</v>
      </c>
      <c r="C18" s="17"/>
      <c r="D18" s="17"/>
      <c r="E18" s="58"/>
      <c r="F18" s="17">
        <f>Transportation101114127140153166179192[[#This Row],[Budgeted
cost]]-Transportation101114127140153166179192[[#This Row],[Actual
cost]]</f>
        <v>0</v>
      </c>
      <c r="G18" s="13"/>
      <c r="H18" s="18" t="s">
        <v>58</v>
      </c>
      <c r="I18" s="17"/>
      <c r="J18" s="17"/>
      <c r="K18" s="58"/>
      <c r="L18" s="17">
        <f>PersonalCare96109122135148161174187[[#This Row],[Budgeted
cost]]-PersonalCare96109122135148161174187[[#This Row],[Actual
cost]]</f>
        <v>0</v>
      </c>
    </row>
    <row r="19" spans="2:12">
      <c r="B19" s="18" t="s">
        <v>18</v>
      </c>
      <c r="C19" s="17"/>
      <c r="D19" s="17"/>
      <c r="E19" s="58"/>
      <c r="F19" s="17">
        <f>Transportation101114127140153166179192[[#This Row],[Budgeted
cost]]-Transportation101114127140153166179192[[#This Row],[Actual
cost]]</f>
        <v>0</v>
      </c>
      <c r="G19" s="13"/>
      <c r="H19" s="18" t="s">
        <v>59</v>
      </c>
      <c r="I19" s="17"/>
      <c r="J19" s="17"/>
      <c r="K19" s="58"/>
      <c r="L19" s="17">
        <f>PersonalCare96109122135148161174187[[#This Row],[Budgeted
cost]]-PersonalCare96109122135148161174187[[#This Row],[Actual
cost]]</f>
        <v>0</v>
      </c>
    </row>
    <row r="20" spans="2:12">
      <c r="B20" s="18" t="s">
        <v>60</v>
      </c>
      <c r="C20" s="17"/>
      <c r="D20" s="17"/>
      <c r="E20" s="58"/>
      <c r="F20" s="17">
        <f>Transportation101114127140153166179192[[#This Row],[Budgeted
cost]]-Transportation101114127140153166179192[[#This Row],[Actual
cost]]</f>
        <v>0</v>
      </c>
      <c r="G20" s="13"/>
      <c r="H20" s="18" t="s">
        <v>61</v>
      </c>
      <c r="I20" s="17"/>
      <c r="J20" s="17"/>
      <c r="K20" s="58"/>
      <c r="L20" s="17">
        <f>PersonalCare96109122135148161174187[[#This Row],[Budgeted
cost]]-PersonalCare96109122135148161174187[[#This Row],[Actual
cost]]</f>
        <v>0</v>
      </c>
    </row>
    <row r="21" spans="2:12">
      <c r="B21" s="18" t="s">
        <v>62</v>
      </c>
      <c r="C21" s="17"/>
      <c r="D21" s="17"/>
      <c r="E21" s="58"/>
      <c r="F21" s="17">
        <f>Transportation101114127140153166179192[[#This Row],[Budgeted
cost]]-Transportation101114127140153166179192[[#This Row],[Actual
cost]]</f>
        <v>0</v>
      </c>
      <c r="G21" s="13"/>
      <c r="H21" s="18" t="s">
        <v>63</v>
      </c>
      <c r="I21" s="17"/>
      <c r="J21" s="17"/>
      <c r="K21" s="58"/>
      <c r="L21" s="17">
        <f>PersonalCare96109122135148161174187[[#This Row],[Budgeted
cost]]-PersonalCare96109122135148161174187[[#This Row],[Actual
cost]]</f>
        <v>0</v>
      </c>
    </row>
    <row r="22" spans="2:12">
      <c r="B22" s="18" t="s">
        <v>64</v>
      </c>
      <c r="C22" s="17"/>
      <c r="D22" s="17"/>
      <c r="E22" s="58"/>
      <c r="F22" s="17">
        <f>Transportation101114127140153166179192[[#This Row],[Budgeted
cost]]-Transportation101114127140153166179192[[#This Row],[Actual
cost]]</f>
        <v>0</v>
      </c>
      <c r="G22" s="13"/>
      <c r="H22" s="18" t="s">
        <v>49</v>
      </c>
      <c r="I22" s="17"/>
      <c r="J22" s="17"/>
      <c r="K22" s="58"/>
      <c r="L22" s="17">
        <f>PersonalCare96109122135148161174187[[#This Row],[Budgeted
cost]]-PersonalCare96109122135148161174187[[#This Row],[Actual
cost]]</f>
        <v>0</v>
      </c>
    </row>
    <row r="23" spans="2:12">
      <c r="B23" s="18" t="s">
        <v>49</v>
      </c>
      <c r="C23" s="17"/>
      <c r="D23" s="17"/>
      <c r="E23" s="58"/>
      <c r="F23" s="17">
        <f>Transportation101114127140153166179192[[#This Row],[Budgeted
cost]]-Transportation101114127140153166179192[[#This Row],[Actual
cost]]</f>
        <v>0</v>
      </c>
      <c r="G23" s="13"/>
      <c r="H23" s="18" t="s">
        <v>49</v>
      </c>
      <c r="I23" s="17"/>
      <c r="J23" s="17"/>
      <c r="K23" s="58"/>
      <c r="L23" s="17">
        <f>PersonalCare96109122135148161174187[[#This Row],[Budgeted
cost]]-PersonalCare96109122135148161174187[[#This Row],[Actual
cost]]</f>
        <v>0</v>
      </c>
    </row>
    <row r="24" spans="2:12">
      <c r="B24" s="18" t="s">
        <v>49</v>
      </c>
      <c r="C24" s="17"/>
      <c r="D24" s="17"/>
      <c r="E24" s="58"/>
      <c r="F24" s="17">
        <f>Transportation101114127140153166179192[[#This Row],[Budgeted
cost]]-Transportation101114127140153166179192[[#This Row],[Actual
cost]]</f>
        <v>0</v>
      </c>
      <c r="G24" s="13"/>
      <c r="H24" s="18" t="s">
        <v>31</v>
      </c>
      <c r="I24" s="19">
        <f>SUBTOTAL(109,PersonalCare96109122135148161174187[Budgeted
cost])</f>
        <v>0</v>
      </c>
      <c r="J24" s="19">
        <f>SUBTOTAL(109,PersonalCare96109122135148161174187[Actual
cost])</f>
        <v>0</v>
      </c>
      <c r="K24" s="61"/>
      <c r="L24" s="19">
        <f>SUBTOTAL(109,PersonalCare96109122135148161174187[Difference])</f>
        <v>0</v>
      </c>
    </row>
    <row r="25" spans="2:12">
      <c r="B25" s="18" t="s">
        <v>31</v>
      </c>
      <c r="C25" s="19">
        <f>SUBTOTAL(109,Transportation101114127140153166179192[Budgeted
cost])</f>
        <v>0</v>
      </c>
      <c r="D25" s="19">
        <f>SUBTOTAL(109,Transportation101114127140153166179192[Actual
cost])</f>
        <v>0</v>
      </c>
      <c r="E25" s="61"/>
      <c r="F25" s="19">
        <f>SUBTOTAL(109,Transportation101114127140153166179192[Difference])</f>
        <v>0</v>
      </c>
      <c r="G25" s="13"/>
    </row>
    <row r="26" spans="2:12" ht="17.45">
      <c r="B26" s="7"/>
      <c r="C26" s="6"/>
      <c r="D26" s="6"/>
      <c r="E26" s="62"/>
      <c r="F26" s="13"/>
    </row>
    <row r="27" spans="2:12" ht="27.6">
      <c r="B27" s="22" t="s">
        <v>18</v>
      </c>
      <c r="C27" s="21" t="s">
        <v>9</v>
      </c>
      <c r="D27" s="21" t="s">
        <v>10</v>
      </c>
      <c r="E27" s="63" t="s">
        <v>37</v>
      </c>
      <c r="F27" s="21" t="s">
        <v>11</v>
      </c>
      <c r="G27" s="13"/>
      <c r="H27" s="22" t="s">
        <v>27</v>
      </c>
      <c r="I27" s="21" t="s">
        <v>9</v>
      </c>
      <c r="J27" s="23" t="s">
        <v>10</v>
      </c>
      <c r="K27" s="63" t="s">
        <v>37</v>
      </c>
      <c r="L27" s="21" t="s">
        <v>11</v>
      </c>
    </row>
    <row r="28" spans="2:12">
      <c r="B28" s="18" t="s">
        <v>65</v>
      </c>
      <c r="C28" s="17"/>
      <c r="D28" s="17"/>
      <c r="E28" s="58"/>
      <c r="F28" s="17">
        <f>Insurance100113126139152165178191[[#This Row],[Budgeted
cost]]-Insurance100113126139152165178191[[#This Row],[Actual
cost]]</f>
        <v>0</v>
      </c>
      <c r="G28" s="13"/>
      <c r="H28" s="18" t="s">
        <v>20</v>
      </c>
      <c r="I28" s="17"/>
      <c r="J28" s="17"/>
      <c r="K28" s="58"/>
      <c r="L28" s="17">
        <f>Pets97110123136149162175188[[#This Row],[Budgeted
cost]]-Pets97110123136149162175188[[#This Row],[Actual
cost]]</f>
        <v>0</v>
      </c>
    </row>
    <row r="29" spans="2:12">
      <c r="B29" s="18" t="s">
        <v>66</v>
      </c>
      <c r="C29" s="17"/>
      <c r="D29" s="17"/>
      <c r="E29" s="58"/>
      <c r="F29" s="17">
        <f>Insurance100113126139152165178191[[#This Row],[Budgeted
cost]]-Insurance100113126139152165178191[[#This Row],[Actual
cost]]</f>
        <v>0</v>
      </c>
      <c r="G29" s="13"/>
      <c r="H29" s="18" t="s">
        <v>54</v>
      </c>
      <c r="I29" s="17"/>
      <c r="J29" s="17"/>
      <c r="K29" s="58"/>
      <c r="L29" s="17">
        <f>Pets97110123136149162175188[[#This Row],[Budgeted
cost]]-Pets97110123136149162175188[[#This Row],[Actual
cost]]</f>
        <v>0</v>
      </c>
    </row>
    <row r="30" spans="2:12">
      <c r="B30" s="18" t="s">
        <v>67</v>
      </c>
      <c r="C30" s="17"/>
      <c r="D30" s="17"/>
      <c r="E30" s="58"/>
      <c r="F30" s="17">
        <f>Insurance100113126139152165178191[[#This Row],[Budgeted
cost]]-Insurance100113126139152165178191[[#This Row],[Actual
cost]]</f>
        <v>0</v>
      </c>
      <c r="G30" s="13"/>
      <c r="H30" s="18" t="s">
        <v>68</v>
      </c>
      <c r="I30" s="17"/>
      <c r="J30" s="17"/>
      <c r="K30" s="58"/>
      <c r="L30" s="17">
        <f>Pets97110123136149162175188[[#This Row],[Budgeted
cost]]-Pets97110123136149162175188[[#This Row],[Actual
cost]]</f>
        <v>0</v>
      </c>
    </row>
    <row r="31" spans="2:12">
      <c r="B31" s="18" t="s">
        <v>49</v>
      </c>
      <c r="C31" s="17"/>
      <c r="D31" s="17"/>
      <c r="E31" s="58"/>
      <c r="F31" s="17">
        <f>Insurance100113126139152165178191[[#This Row],[Budgeted
cost]]-Insurance100113126139152165178191[[#This Row],[Actual
cost]]</f>
        <v>0</v>
      </c>
      <c r="G31" s="13"/>
      <c r="H31" s="18" t="s">
        <v>69</v>
      </c>
      <c r="I31" s="17"/>
      <c r="J31" s="17"/>
      <c r="K31" s="58"/>
      <c r="L31" s="17">
        <f>Pets97110123136149162175188[[#This Row],[Budgeted
cost]]-Pets97110123136149162175188[[#This Row],[Actual
cost]]</f>
        <v>0</v>
      </c>
    </row>
    <row r="32" spans="2:12">
      <c r="B32" s="18" t="s">
        <v>49</v>
      </c>
      <c r="C32" s="17"/>
      <c r="D32" s="17"/>
      <c r="E32" s="58"/>
      <c r="F32" s="17">
        <f>Insurance100113126139152165178191[[#This Row],[Budgeted
cost]]-Insurance100113126139152165178191[[#This Row],[Actual
cost]]</f>
        <v>0</v>
      </c>
      <c r="G32" s="13"/>
      <c r="H32" s="18" t="s">
        <v>49</v>
      </c>
      <c r="I32" s="17"/>
      <c r="J32" s="17"/>
      <c r="K32" s="58"/>
      <c r="L32" s="17">
        <f>Pets97110123136149162175188[[#This Row],[Budgeted
cost]]-Pets97110123136149162175188[[#This Row],[Actual
cost]]</f>
        <v>0</v>
      </c>
    </row>
    <row r="33" spans="2:12">
      <c r="B33" s="18" t="s">
        <v>31</v>
      </c>
      <c r="C33" s="19">
        <f>SUBTOTAL(109,Insurance100113126139152165178191[Budgeted
cost])</f>
        <v>0</v>
      </c>
      <c r="D33" s="19">
        <f>SUBTOTAL(109,Insurance100113126139152165178191[Actual
cost])</f>
        <v>0</v>
      </c>
      <c r="E33" s="61"/>
      <c r="F33" s="19">
        <f>SUBTOTAL(109,Insurance100113126139152165178191[Difference])</f>
        <v>0</v>
      </c>
      <c r="G33" s="13"/>
      <c r="H33" s="18" t="s">
        <v>31</v>
      </c>
      <c r="I33" s="19">
        <f>SUBTOTAL(109,Pets97110123136149162175188[Budgeted
cost])</f>
        <v>0</v>
      </c>
      <c r="J33" s="19">
        <f>SUBTOTAL(109,Pets97110123136149162175188[Actual
cost])</f>
        <v>0</v>
      </c>
      <c r="K33" s="64"/>
      <c r="L33" s="19">
        <f>SUBTOTAL(109,Pets97110123136149162175188[Difference])</f>
        <v>0</v>
      </c>
    </row>
    <row r="34" spans="2:12" ht="17.45">
      <c r="B34" s="7"/>
      <c r="C34" s="6"/>
      <c r="D34" s="6"/>
      <c r="E34" s="62"/>
      <c r="F34" s="13"/>
    </row>
    <row r="35" spans="2:12" ht="27.6">
      <c r="B35" s="22" t="s">
        <v>20</v>
      </c>
      <c r="C35" s="57" t="s">
        <v>9</v>
      </c>
      <c r="D35" s="21" t="s">
        <v>10</v>
      </c>
      <c r="E35" s="63" t="s">
        <v>37</v>
      </c>
      <c r="F35" s="21" t="s">
        <v>11</v>
      </c>
      <c r="H35" s="22" t="s">
        <v>21</v>
      </c>
      <c r="I35" s="21" t="s">
        <v>70</v>
      </c>
      <c r="J35" s="23" t="s">
        <v>71</v>
      </c>
      <c r="K35" s="63" t="s">
        <v>37</v>
      </c>
      <c r="L35" s="21" t="s">
        <v>11</v>
      </c>
    </row>
    <row r="36" spans="2:12">
      <c r="B36" s="18" t="s">
        <v>72</v>
      </c>
      <c r="C36" s="17"/>
      <c r="D36" s="17"/>
      <c r="E36" s="58"/>
      <c r="F36" s="17">
        <f>Food99112125138151164177190[[#This Row],[Budgeted
cost]]-Food99112125138151164177190[[#This Row],[Actual
cost]]</f>
        <v>0</v>
      </c>
      <c r="H36" s="18" t="s">
        <v>73</v>
      </c>
      <c r="I36" s="17"/>
      <c r="J36" s="17"/>
      <c r="K36" s="58"/>
      <c r="L36" s="17">
        <f>Taxes93106119132145158171184[[#This Row],[Budgeted 
cost]]-Taxes93106119132145158171184[[#This Row],[Actual 
cost]]</f>
        <v>0</v>
      </c>
    </row>
    <row r="37" spans="2:12">
      <c r="B37" s="18" t="s">
        <v>74</v>
      </c>
      <c r="C37" s="17"/>
      <c r="D37" s="17"/>
      <c r="E37" s="58"/>
      <c r="F37" s="17">
        <f>Food99112125138151164177190[[#This Row],[Budgeted
cost]]-Food99112125138151164177190[[#This Row],[Actual
cost]]</f>
        <v>0</v>
      </c>
      <c r="G37" s="13"/>
      <c r="H37" s="18" t="s">
        <v>75</v>
      </c>
      <c r="I37" s="17"/>
      <c r="J37" s="17"/>
      <c r="K37" s="58"/>
      <c r="L37" s="17">
        <f>Taxes93106119132145158171184[[#This Row],[Budgeted 
cost]]-Taxes93106119132145158171184[[#This Row],[Actual 
cost]]</f>
        <v>0</v>
      </c>
    </row>
    <row r="38" spans="2:12">
      <c r="B38" s="18" t="s">
        <v>76</v>
      </c>
      <c r="C38" s="17"/>
      <c r="D38" s="17"/>
      <c r="E38" s="58"/>
      <c r="F38" s="17">
        <f>Food99112125138151164177190[[#This Row],[Budgeted
cost]]-Food99112125138151164177190[[#This Row],[Actual
cost]]</f>
        <v>0</v>
      </c>
      <c r="G38" s="13"/>
      <c r="H38" s="18" t="s">
        <v>49</v>
      </c>
      <c r="I38" s="17"/>
      <c r="J38" s="17"/>
      <c r="K38" s="58"/>
      <c r="L38" s="17">
        <f>Taxes93106119132145158171184[[#This Row],[Budgeted 
cost]]-Taxes93106119132145158171184[[#This Row],[Actual 
cost]]</f>
        <v>0</v>
      </c>
    </row>
    <row r="39" spans="2:12">
      <c r="B39" s="18" t="s">
        <v>49</v>
      </c>
      <c r="C39" s="17"/>
      <c r="D39" s="17"/>
      <c r="E39" s="58"/>
      <c r="F39" s="17">
        <f>Food99112125138151164177190[[#This Row],[Budgeted
cost]]-Food99112125138151164177190[[#This Row],[Actual
cost]]</f>
        <v>0</v>
      </c>
      <c r="G39" s="13"/>
      <c r="H39" s="18" t="s">
        <v>49</v>
      </c>
      <c r="I39" s="17"/>
      <c r="J39" s="17"/>
      <c r="K39" s="58"/>
      <c r="L39" s="17">
        <f>Taxes93106119132145158171184[[#This Row],[Budgeted 
cost]]-Taxes93106119132145158171184[[#This Row],[Actual 
cost]]</f>
        <v>0</v>
      </c>
    </row>
    <row r="40" spans="2:12">
      <c r="B40" s="18" t="s">
        <v>49</v>
      </c>
      <c r="C40" s="17"/>
      <c r="D40" s="17"/>
      <c r="E40" s="58"/>
      <c r="F40" s="17">
        <f>Food99112125138151164177190[[#This Row],[Budgeted
cost]]-Food99112125138151164177190[[#This Row],[Actual
cost]]</f>
        <v>0</v>
      </c>
      <c r="G40" s="13"/>
      <c r="H40" s="18" t="s">
        <v>31</v>
      </c>
      <c r="I40" s="19">
        <f>SUBTOTAL(109,Taxes93106119132145158171184[Budgeted 
cost])</f>
        <v>0</v>
      </c>
      <c r="J40" s="19">
        <f>SUBTOTAL(109,Taxes93106119132145158171184[Actual 
cost])</f>
        <v>0</v>
      </c>
      <c r="K40" s="61"/>
      <c r="L40" s="19">
        <f>SUBTOTAL(109,Taxes93106119132145158171184[Difference])</f>
        <v>0</v>
      </c>
    </row>
    <row r="41" spans="2:12" ht="15">
      <c r="B41" s="18" t="s">
        <v>31</v>
      </c>
      <c r="C41" s="19">
        <f>SUBTOTAL(109,Food99112125138151164177190[Budgeted
cost])</f>
        <v>0</v>
      </c>
      <c r="D41" s="19">
        <f>SUBTOTAL(109,Food99112125138151164177190[Actual
cost])</f>
        <v>0</v>
      </c>
      <c r="E41" s="61"/>
      <c r="F41" s="19">
        <f>SUBTOTAL(109,Food99112125138151164177190[Difference])</f>
        <v>0</v>
      </c>
      <c r="G41" s="13"/>
      <c r="H41" s="3"/>
      <c r="I41" s="4"/>
      <c r="J41" s="4"/>
      <c r="K41" s="65"/>
    </row>
    <row r="42" spans="2:12" ht="24.6">
      <c r="B42" s="5"/>
      <c r="C42" s="6"/>
      <c r="D42" s="6"/>
      <c r="E42" s="62"/>
      <c r="F42" s="13"/>
      <c r="G42" s="13"/>
      <c r="I42" s="20"/>
      <c r="J42" s="20"/>
      <c r="K42" s="59"/>
    </row>
    <row r="43" spans="2:12" ht="27.6">
      <c r="B43" s="22" t="s">
        <v>22</v>
      </c>
      <c r="C43" s="21" t="s">
        <v>9</v>
      </c>
      <c r="D43" s="21" t="s">
        <v>10</v>
      </c>
      <c r="E43" s="63" t="s">
        <v>37</v>
      </c>
      <c r="F43" s="21" t="s">
        <v>11</v>
      </c>
      <c r="G43" s="13"/>
      <c r="H43" s="22" t="s">
        <v>16</v>
      </c>
      <c r="I43" s="21" t="s">
        <v>9</v>
      </c>
      <c r="J43" s="23" t="s">
        <v>10</v>
      </c>
      <c r="K43" s="63" t="s">
        <v>37</v>
      </c>
      <c r="L43" s="21" t="s">
        <v>11</v>
      </c>
    </row>
    <row r="44" spans="2:12">
      <c r="B44" s="18" t="s">
        <v>54</v>
      </c>
      <c r="C44" s="17"/>
      <c r="D44" s="17"/>
      <c r="E44" s="58"/>
      <c r="F44" s="17">
        <f>Children98111124137150163176189[[#This Row],[Budgeted
cost]]-Children98111124137150163176189[[#This Row],[Actual
cost]]</f>
        <v>0</v>
      </c>
      <c r="H44" s="18" t="s">
        <v>77</v>
      </c>
      <c r="I44" s="17"/>
      <c r="J44" s="17"/>
      <c r="K44" s="58"/>
      <c r="L44" s="17">
        <f>Loans94107120133146159172185[[#This Row],[Budgeted
cost]]-Loans94107120133146159172185[[#This Row],[Actual
cost]]</f>
        <v>0</v>
      </c>
    </row>
    <row r="45" spans="2:12">
      <c r="B45" s="18" t="s">
        <v>58</v>
      </c>
      <c r="C45" s="17"/>
      <c r="D45" s="17"/>
      <c r="E45" s="58"/>
      <c r="F45" s="17">
        <f>Children98111124137150163176189[[#This Row],[Budgeted
cost]]-Children98111124137150163176189[[#This Row],[Actual
cost]]</f>
        <v>0</v>
      </c>
      <c r="G45" s="13"/>
      <c r="H45" s="18" t="s">
        <v>78</v>
      </c>
      <c r="I45" s="17"/>
      <c r="J45" s="17"/>
      <c r="K45" s="58"/>
      <c r="L45" s="17">
        <f>Loans94107120133146159172185[[#This Row],[Budgeted
cost]]-Loans94107120133146159172185[[#This Row],[Actual
cost]]</f>
        <v>0</v>
      </c>
    </row>
    <row r="46" spans="2:12">
      <c r="B46" s="18" t="s">
        <v>79</v>
      </c>
      <c r="C46" s="17"/>
      <c r="D46" s="17"/>
      <c r="E46" s="58"/>
      <c r="F46" s="17">
        <f>Children98111124137150163176189[[#This Row],[Budgeted
cost]]-Children98111124137150163176189[[#This Row],[Actual
cost]]</f>
        <v>0</v>
      </c>
      <c r="G46" s="13"/>
      <c r="H46" s="18" t="s">
        <v>80</v>
      </c>
      <c r="I46" s="17"/>
      <c r="J46" s="17"/>
      <c r="K46" s="58"/>
      <c r="L46" s="17">
        <f>Loans94107120133146159172185[[#This Row],[Budgeted
cost]]-Loans94107120133146159172185[[#This Row],[Actual
cost]]</f>
        <v>0</v>
      </c>
    </row>
    <row r="47" spans="2:12">
      <c r="B47" s="18" t="s">
        <v>81</v>
      </c>
      <c r="C47" s="17"/>
      <c r="D47" s="17"/>
      <c r="E47" s="58"/>
      <c r="F47" s="17">
        <f>Children98111124137150163176189[[#This Row],[Budgeted
cost]]-Children98111124137150163176189[[#This Row],[Actual
cost]]</f>
        <v>0</v>
      </c>
      <c r="G47" s="13"/>
      <c r="H47" s="18" t="s">
        <v>80</v>
      </c>
      <c r="I47" s="17"/>
      <c r="J47" s="17"/>
      <c r="K47" s="58"/>
      <c r="L47" s="17">
        <f>Loans94107120133146159172185[[#This Row],[Budgeted
cost]]-Loans94107120133146159172185[[#This Row],[Actual
cost]]</f>
        <v>0</v>
      </c>
    </row>
    <row r="48" spans="2:12">
      <c r="B48" s="18" t="s">
        <v>63</v>
      </c>
      <c r="C48" s="17"/>
      <c r="D48" s="17"/>
      <c r="E48" s="58"/>
      <c r="F48" s="17">
        <f>Children98111124137150163176189[[#This Row],[Budgeted
cost]]-Children98111124137150163176189[[#This Row],[Actual
cost]]</f>
        <v>0</v>
      </c>
      <c r="G48" s="13"/>
      <c r="H48" s="18" t="s">
        <v>80</v>
      </c>
      <c r="I48" s="17"/>
      <c r="J48" s="17"/>
      <c r="K48" s="58"/>
      <c r="L48" s="17">
        <f>Loans94107120133146159172185[[#This Row],[Budgeted
cost]]-Loans94107120133146159172185[[#This Row],[Actual
cost]]</f>
        <v>0</v>
      </c>
    </row>
    <row r="49" spans="2:12">
      <c r="B49" s="18" t="s">
        <v>82</v>
      </c>
      <c r="C49" s="17"/>
      <c r="D49" s="17"/>
      <c r="E49" s="58"/>
      <c r="F49" s="17">
        <f>Children98111124137150163176189[[#This Row],[Budgeted
cost]]-Children98111124137150163176189[[#This Row],[Actual
cost]]</f>
        <v>0</v>
      </c>
      <c r="G49" s="13"/>
      <c r="H49" s="18" t="s">
        <v>49</v>
      </c>
      <c r="I49" s="17"/>
      <c r="J49" s="17"/>
      <c r="K49" s="58"/>
      <c r="L49" s="17">
        <f>Loans94107120133146159172185[[#This Row],[Budgeted
cost]]-Loans94107120133146159172185[[#This Row],[Actual
cost]]</f>
        <v>0</v>
      </c>
    </row>
    <row r="50" spans="2:12">
      <c r="B50" s="18" t="s">
        <v>83</v>
      </c>
      <c r="C50" s="17"/>
      <c r="D50" s="17"/>
      <c r="E50" s="58"/>
      <c r="F50" s="17">
        <f>Children98111124137150163176189[[#This Row],[Budgeted
cost]]-Children98111124137150163176189[[#This Row],[Actual
cost]]</f>
        <v>0</v>
      </c>
      <c r="G50" s="13"/>
      <c r="H50" s="18" t="s">
        <v>49</v>
      </c>
      <c r="I50" s="17"/>
      <c r="J50" s="17"/>
      <c r="K50" s="58"/>
      <c r="L50" s="17">
        <f>Loans94107120133146159172185[[#This Row],[Budgeted
cost]]-Loans94107120133146159172185[[#This Row],[Actual
cost]]</f>
        <v>0</v>
      </c>
    </row>
    <row r="51" spans="2:12">
      <c r="B51" s="18" t="s">
        <v>84</v>
      </c>
      <c r="C51" s="17"/>
      <c r="D51" s="17"/>
      <c r="E51" s="58"/>
      <c r="F51" s="17">
        <f>Children98111124137150163176189[[#This Row],[Budgeted
cost]]-Children98111124137150163176189[[#This Row],[Actual
cost]]</f>
        <v>0</v>
      </c>
      <c r="G51" s="13"/>
      <c r="H51" s="18" t="s">
        <v>31</v>
      </c>
      <c r="I51" s="19">
        <f>SUBTOTAL(109,Loans94107120133146159172185[Budgeted
cost])</f>
        <v>0</v>
      </c>
      <c r="J51" s="19">
        <f>SUBTOTAL(109,Loans94107120133146159172185[Actual
cost])</f>
        <v>0</v>
      </c>
      <c r="K51" s="61"/>
      <c r="L51" s="19">
        <f>SUBTOTAL(109,Loans94107120133146159172185[Difference])</f>
        <v>0</v>
      </c>
    </row>
    <row r="52" spans="2:12">
      <c r="B52" s="18" t="s">
        <v>49</v>
      </c>
      <c r="C52" s="17"/>
      <c r="D52" s="17"/>
      <c r="E52" s="58"/>
      <c r="F52" s="17">
        <f>Children98111124137150163176189[[#This Row],[Budgeted
cost]]-Children98111124137150163176189[[#This Row],[Actual
cost]]</f>
        <v>0</v>
      </c>
      <c r="G52" s="13"/>
    </row>
    <row r="53" spans="2:12" ht="17.45">
      <c r="B53" s="18" t="s">
        <v>49</v>
      </c>
      <c r="C53" s="17"/>
      <c r="D53" s="17"/>
      <c r="E53" s="58"/>
      <c r="F53" s="17">
        <f>Children98111124137150163176189[[#This Row],[Budgeted
cost]]-Children98111124137150163176189[[#This Row],[Actual
cost]]</f>
        <v>0</v>
      </c>
      <c r="G53" s="13"/>
      <c r="H53" s="7"/>
      <c r="I53" s="6"/>
      <c r="J53" s="6"/>
      <c r="K53" s="62"/>
    </row>
    <row r="54" spans="2:12">
      <c r="B54" s="18" t="s">
        <v>31</v>
      </c>
      <c r="C54" s="19">
        <f>SUBTOTAL(109,Children98111124137150163176189[Budgeted
cost])</f>
        <v>0</v>
      </c>
      <c r="D54" s="19">
        <f>SUBTOTAL(109,Children98111124137150163176189[Actual
cost])</f>
        <v>0</v>
      </c>
      <c r="E54" s="61"/>
      <c r="F54" s="19">
        <f>SUBTOTAL(109,Children98111124137150163176189[Difference])</f>
        <v>0</v>
      </c>
      <c r="G54" s="13"/>
    </row>
    <row r="55" spans="2:12" ht="15">
      <c r="B55" s="5"/>
      <c r="C55" s="6"/>
      <c r="D55" s="6"/>
      <c r="E55" s="62"/>
      <c r="F55" s="13"/>
      <c r="G55" s="13"/>
    </row>
    <row r="56" spans="2:12" ht="27.6">
      <c r="B56" s="22" t="s">
        <v>25</v>
      </c>
      <c r="C56" s="21" t="s">
        <v>9</v>
      </c>
      <c r="D56" s="21" t="s">
        <v>10</v>
      </c>
      <c r="E56" s="63" t="s">
        <v>37</v>
      </c>
      <c r="F56" s="21" t="s">
        <v>11</v>
      </c>
      <c r="G56" s="14"/>
      <c r="H56" s="22" t="s">
        <v>30</v>
      </c>
      <c r="I56" s="21" t="s">
        <v>9</v>
      </c>
      <c r="J56" s="23" t="s">
        <v>10</v>
      </c>
      <c r="K56" s="63" t="s">
        <v>37</v>
      </c>
      <c r="L56" s="21" t="s">
        <v>11</v>
      </c>
    </row>
    <row r="57" spans="2:12">
      <c r="B57" s="18" t="s">
        <v>85</v>
      </c>
      <c r="C57" s="17"/>
      <c r="D57" s="17"/>
      <c r="E57" s="58"/>
      <c r="F57" s="17">
        <f>Legal90103116129142155168181[[#This Row],[Budgeted
cost]]-Legal90103116129142155168181[[#This Row],[Actual
cost]]</f>
        <v>0</v>
      </c>
      <c r="H57" s="18" t="s">
        <v>86</v>
      </c>
      <c r="I57" s="17"/>
      <c r="J57" s="17"/>
      <c r="K57" s="58"/>
      <c r="L57" s="17">
        <f>Gifts91104117130143156169182[[#This Row],[Budgeted
cost]]-Gifts91104117130143156169182[[#This Row],[Actual
cost]]</f>
        <v>0</v>
      </c>
    </row>
    <row r="58" spans="2:12">
      <c r="B58" s="18" t="s">
        <v>87</v>
      </c>
      <c r="C58" s="17"/>
      <c r="D58" s="17"/>
      <c r="E58" s="58"/>
      <c r="F58" s="17">
        <f>Legal90103116129142155168181[[#This Row],[Budgeted
cost]]-Legal90103116129142155168181[[#This Row],[Actual
cost]]</f>
        <v>0</v>
      </c>
      <c r="G58" s="13"/>
      <c r="H58" s="18" t="s">
        <v>88</v>
      </c>
      <c r="I58" s="17"/>
      <c r="J58" s="17"/>
      <c r="K58" s="58"/>
      <c r="L58" s="17">
        <f>Gifts91104117130143156169182[[#This Row],[Budgeted
cost]]-Gifts91104117130143156169182[[#This Row],[Actual
cost]]</f>
        <v>0</v>
      </c>
    </row>
    <row r="59" spans="2:12">
      <c r="B59" s="18" t="s">
        <v>89</v>
      </c>
      <c r="C59" s="17"/>
      <c r="D59" s="17"/>
      <c r="E59" s="58"/>
      <c r="F59" s="17">
        <f>Legal90103116129142155168181[[#This Row],[Budgeted
cost]]-Legal90103116129142155168181[[#This Row],[Actual
cost]]</f>
        <v>0</v>
      </c>
      <c r="G59" s="13"/>
      <c r="H59" s="18" t="s">
        <v>90</v>
      </c>
      <c r="I59" s="17"/>
      <c r="J59" s="17"/>
      <c r="K59" s="58"/>
      <c r="L59" s="17">
        <f>Gifts91104117130143156169182[[#This Row],[Budgeted
cost]]-Gifts91104117130143156169182[[#This Row],[Actual
cost]]</f>
        <v>0</v>
      </c>
    </row>
    <row r="60" spans="2:12">
      <c r="B60" s="18" t="s">
        <v>49</v>
      </c>
      <c r="C60" s="17"/>
      <c r="D60" s="17"/>
      <c r="E60" s="58"/>
      <c r="F60" s="17">
        <f>Legal90103116129142155168181[[#This Row],[Budgeted
cost]]-Legal90103116129142155168181[[#This Row],[Actual
cost]]</f>
        <v>0</v>
      </c>
      <c r="G60" s="13"/>
      <c r="H60" s="18" t="s">
        <v>31</v>
      </c>
      <c r="I60" s="19">
        <f>SUBTOTAL(109,Gifts91104117130143156169182[Budgeted
cost])</f>
        <v>0</v>
      </c>
      <c r="J60" s="19">
        <f>SUBTOTAL(109,Gifts91104117130143156169182[Actual
cost])</f>
        <v>0</v>
      </c>
      <c r="K60" s="64"/>
      <c r="L60" s="19">
        <f>SUBTOTAL(109,Gifts91104117130143156169182[Difference])</f>
        <v>0</v>
      </c>
    </row>
    <row r="61" spans="2:12">
      <c r="B61" s="18" t="s">
        <v>49</v>
      </c>
      <c r="C61" s="17"/>
      <c r="D61" s="17"/>
      <c r="E61" s="58"/>
      <c r="F61" s="17">
        <f>Legal90103116129142155168181[[#This Row],[Budgeted
cost]]-Legal90103116129142155168181[[#This Row],[Actual
cost]]</f>
        <v>0</v>
      </c>
      <c r="G61" s="13"/>
    </row>
    <row r="62" spans="2:12">
      <c r="B62" s="18" t="s">
        <v>31</v>
      </c>
      <c r="C62" s="19">
        <f>SUBTOTAL(109,Legal90103116129142155168181[Budgeted
cost])</f>
        <v>0</v>
      </c>
      <c r="D62" s="19">
        <f>SUBTOTAL(109,Legal90103116129142155168181[Actual
cost])</f>
        <v>0</v>
      </c>
      <c r="E62" s="61"/>
      <c r="F62" s="19">
        <f>SUBTOTAL(109,Legal90103116129142155168181[Difference])</f>
        <v>0</v>
      </c>
      <c r="G62" s="13"/>
    </row>
    <row r="63" spans="2:12" ht="24.6">
      <c r="E63" s="12"/>
      <c r="G63" s="15"/>
      <c r="I63" s="20"/>
      <c r="J63" s="20"/>
      <c r="K63" s="59"/>
    </row>
    <row r="64" spans="2:12" ht="27.6">
      <c r="B64" s="22" t="s">
        <v>19</v>
      </c>
      <c r="C64" s="21" t="s">
        <v>9</v>
      </c>
      <c r="D64" s="23" t="s">
        <v>10</v>
      </c>
      <c r="E64" s="63" t="s">
        <v>37</v>
      </c>
      <c r="F64" s="21" t="s">
        <v>11</v>
      </c>
      <c r="G64" s="14"/>
    </row>
    <row r="65" spans="2:10">
      <c r="B65" s="18" t="s">
        <v>91</v>
      </c>
      <c r="C65" s="17"/>
      <c r="D65" s="17"/>
      <c r="E65" s="58"/>
      <c r="F65" s="17">
        <f>Entertainment95108121134147160173186[[#This Row],[Budgeted
cost]]-Entertainment95108121134147160173186[[#This Row],[Actual
cost]]</f>
        <v>0</v>
      </c>
    </row>
    <row r="66" spans="2:10">
      <c r="B66" s="18" t="s">
        <v>92</v>
      </c>
      <c r="C66" s="17"/>
      <c r="D66" s="17"/>
      <c r="E66" s="58"/>
      <c r="F66" s="17">
        <f>Entertainment95108121134147160173186[[#This Row],[Budgeted
cost]]-Entertainment95108121134147160173186[[#This Row],[Actual
cost]]</f>
        <v>0</v>
      </c>
      <c r="G66" s="13"/>
    </row>
    <row r="67" spans="2:10">
      <c r="B67" s="18" t="s">
        <v>93</v>
      </c>
      <c r="C67" s="17"/>
      <c r="D67" s="17"/>
      <c r="E67" s="58"/>
      <c r="F67" s="17">
        <f>Entertainment95108121134147160173186[[#This Row],[Budgeted
cost]]-Entertainment95108121134147160173186[[#This Row],[Actual
cost]]</f>
        <v>0</v>
      </c>
      <c r="G67" s="13"/>
    </row>
    <row r="68" spans="2:10">
      <c r="B68" s="18" t="s">
        <v>94</v>
      </c>
      <c r="C68" s="17"/>
      <c r="D68" s="17"/>
      <c r="E68" s="58"/>
      <c r="F68" s="17">
        <f>Entertainment95108121134147160173186[[#This Row],[Budgeted
cost]]-Entertainment95108121134147160173186[[#This Row],[Actual
cost]]</f>
        <v>0</v>
      </c>
    </row>
    <row r="69" spans="2:10">
      <c r="B69" s="18" t="s">
        <v>95</v>
      </c>
      <c r="C69" s="17"/>
      <c r="D69" s="17"/>
      <c r="E69" s="58"/>
      <c r="F69" s="17">
        <f>Entertainment95108121134147160173186[[#This Row],[Budgeted
cost]]-Entertainment95108121134147160173186[[#This Row],[Actual
cost]]</f>
        <v>0</v>
      </c>
    </row>
    <row r="70" spans="2:10">
      <c r="B70" s="18" t="s">
        <v>96</v>
      </c>
      <c r="C70" s="17"/>
      <c r="D70" s="17"/>
      <c r="E70" s="58"/>
      <c r="F70" s="17">
        <f>Entertainment95108121134147160173186[[#This Row],[Budgeted
cost]]-Entertainment95108121134147160173186[[#This Row],[Actual
cost]]</f>
        <v>0</v>
      </c>
    </row>
    <row r="71" spans="2:10">
      <c r="B71" s="18" t="s">
        <v>49</v>
      </c>
      <c r="C71" s="17"/>
      <c r="D71" s="17"/>
      <c r="E71" s="58"/>
      <c r="F71" s="17">
        <f>Entertainment95108121134147160173186[[#This Row],[Budgeted
cost]]-Entertainment95108121134147160173186[[#This Row],[Actual
cost]]</f>
        <v>0</v>
      </c>
    </row>
    <row r="72" spans="2:10">
      <c r="B72" s="18" t="s">
        <v>31</v>
      </c>
      <c r="C72" s="19">
        <f>SUBTOTAL(109,Entertainment95108121134147160173186[Budgeted
cost])</f>
        <v>0</v>
      </c>
      <c r="D72" s="19">
        <f>SUBTOTAL(109,Entertainment95108121134147160173186[Actual
cost])</f>
        <v>0</v>
      </c>
      <c r="E72" s="64"/>
      <c r="F72" s="19">
        <f>SUBTOTAL(109,Entertainment95108121134147160173186[Difference])</f>
        <v>0</v>
      </c>
      <c r="J72" s="16"/>
    </row>
    <row r="73" spans="2:10">
      <c r="E73" s="12"/>
    </row>
    <row r="74" spans="2:10">
      <c r="E74" s="12"/>
    </row>
  </sheetData>
  <conditionalFormatting sqref="B1:B14 F1:F14 G1:G25 H3:L10 H16:L24 B16:F26 G27:G33 H28:L33 B28:F34 H36:L40 B36:F42 G37:G43 H41:K41 H44:L51 B44:F55 G45:G56 H53:K53 H57:L60 B57:F62 G58:G64 B65:F72 G66:G67">
    <cfRule type="cellIs" dxfId="429" priority="3" operator="lessThan">
      <formula>0</formula>
    </cfRule>
  </conditionalFormatting>
  <conditionalFormatting sqref="B3:F13">
    <cfRule type="cellIs" dxfId="428" priority="2" operator="lessThan">
      <formula>0</formula>
    </cfRule>
  </conditionalFormatting>
  <conditionalFormatting sqref="F3:F12">
    <cfRule type="iconSet" priority="1">
      <iconSet iconSet="3Arrows">
        <cfvo type="percentile" val="0"/>
        <cfvo type="num" val="-50"/>
        <cfvo type="num" val="50"/>
      </iconSet>
    </cfRule>
  </conditionalFormatting>
  <conditionalFormatting sqref="L28:L32 L57:L59 F65:F71 L36:L39 F16:F24 L44:L50 F28:F32 F36:F40 F44:F53 L16:L23 F57:F61 L3:L9">
    <cfRule type="iconSet" priority="4">
      <iconSet iconSet="3Arrows">
        <cfvo type="percentile" val="0"/>
        <cfvo type="num" val="-50"/>
        <cfvo type="num" val="50"/>
      </iconSet>
    </cfRule>
  </conditionalFormatting>
  <dataValidations count="1">
    <dataValidation allowBlank="1" showInputMessage="1" showErrorMessage="1" prompt="Enter details in Transportation table below and in Insurance table starting in cell B30" sqref="G1:G14 B1:B12 B14" xr:uid="{F89730B1-BBCC-429F-BE4C-4DD6AE097280}"/>
  </dataValidations>
  <pageMargins left="0.7" right="0.7" top="0.75" bottom="0.75" header="0.3" footer="0.3"/>
  <pageSetup orientation="landscape" horizontalDpi="1200" verticalDpi="1200" r:id="rId1"/>
  <headerFooter>
    <oddFooter>&amp;C&amp;P&amp;R&amp;G</oddFooter>
  </headerFooter>
  <legacyDrawingHF r:id="rId2"/>
  <tableParts count="13">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B1:J61"/>
  <sheetViews>
    <sheetView zoomScale="70" zoomScaleNormal="70" zoomScalePageLayoutView="70" workbookViewId="0">
      <selection activeCell="B17" sqref="B17"/>
    </sheetView>
  </sheetViews>
  <sheetFormatPr defaultColWidth="9" defaultRowHeight="30" customHeight="1"/>
  <cols>
    <col min="1" max="1" width="1.25" customWidth="1"/>
    <col min="2" max="6" width="24.625" customWidth="1"/>
    <col min="7" max="7" width="7.75" customWidth="1"/>
    <col min="8" max="8" width="32.875" customWidth="1"/>
    <col min="9" max="9" width="32.875" style="2" customWidth="1"/>
    <col min="10" max="10" width="2.375" customWidth="1"/>
  </cols>
  <sheetData>
    <row r="1" spans="2:10" ht="77.25" customHeight="1">
      <c r="B1" s="113" t="s">
        <v>32</v>
      </c>
      <c r="C1" s="113"/>
      <c r="D1" s="113"/>
      <c r="E1" s="113"/>
      <c r="F1" s="113"/>
      <c r="G1" s="113"/>
      <c r="H1" s="113"/>
      <c r="I1" s="26"/>
      <c r="J1" s="27"/>
    </row>
    <row r="2" spans="2:10" ht="35.450000000000003">
      <c r="B2" s="54" t="s">
        <v>1</v>
      </c>
      <c r="C2" s="24" t="s">
        <v>2</v>
      </c>
      <c r="D2" s="55" t="s">
        <v>3</v>
      </c>
      <c r="E2" s="25" t="s">
        <v>4</v>
      </c>
      <c r="F2" s="1"/>
      <c r="H2" s="36"/>
      <c r="I2" s="26"/>
      <c r="J2" s="29"/>
    </row>
    <row r="3" spans="2:10" ht="35.450000000000003">
      <c r="B3" s="11"/>
      <c r="C3" s="76">
        <f>SUM('Jan - Bills &amp; Expenses'!C25,'Jan - Bills &amp; Expenses'!I51,'Jan - Bills &amp; Expenses'!C33,'Jan - Bills &amp; Expenses'!C72,'Jan - Bills &amp; Expenses'!C41,'Jan - Bills &amp; Expenses'!I40,'Jan - Bills &amp; Expenses'!C54,'Jan - Bills &amp; Expenses'!I24,'Jan - Bills &amp; Expenses'!I33,'Jan - Bills &amp; Expenses'!C62,'Jan - Bills &amp; Expenses'!I10,'Jan - Bills &amp; Expenses'!I60)</f>
        <v>0</v>
      </c>
      <c r="D3" s="77">
        <f>SUM(Housing[[#Totals],[Actual
cost]],'Jan - Bills &amp; Expenses'!D25,'Jan - Bills &amp; Expenses'!J51,'Jan - Bills &amp; Expenses'!D33,'Jan - Bills &amp; Expenses'!D72,'Jan - Bills &amp; Expenses'!D41,'Jan - Bills &amp; Expenses'!J40,'Jan - Bills &amp; Expenses'!D54,'Jan - Bills &amp; Expenses'!J24,'Jan - Bills &amp; Expenses'!D62,'Jan - Bills &amp; Expenses'!J33,'Jan - Bills &amp; Expenses'!J10,'Jan - Bills &amp; Expenses'!J60)</f>
        <v>0</v>
      </c>
      <c r="E3" s="78">
        <f>SUM(C3-D3)</f>
        <v>0</v>
      </c>
      <c r="F3" s="1"/>
      <c r="H3" s="36"/>
      <c r="I3" s="26"/>
      <c r="J3" s="29"/>
    </row>
    <row r="4" spans="2:10" ht="35.450000000000003">
      <c r="C4" s="33"/>
      <c r="D4" s="33"/>
      <c r="E4" s="33"/>
      <c r="F4" s="10"/>
      <c r="H4" s="36"/>
      <c r="I4" s="26"/>
      <c r="J4" s="29"/>
    </row>
    <row r="5" spans="2:10" ht="27.6">
      <c r="B5" s="79" t="s">
        <v>8</v>
      </c>
      <c r="C5" s="80" t="s">
        <v>9</v>
      </c>
      <c r="D5" s="80" t="s">
        <v>10</v>
      </c>
      <c r="E5" s="81" t="s">
        <v>11</v>
      </c>
      <c r="G5" s="10"/>
      <c r="H5" s="114" t="s">
        <v>33</v>
      </c>
      <c r="I5" s="115"/>
      <c r="J5" s="30"/>
    </row>
    <row r="6" spans="2:10" ht="15">
      <c r="B6" s="82" t="s">
        <v>13</v>
      </c>
      <c r="C6" s="83">
        <f>Housing[[#Totals],[Budgeted
cost]]</f>
        <v>0</v>
      </c>
      <c r="D6" s="83">
        <f>Housing[[#Totals],[Actual
cost]]</f>
        <v>0</v>
      </c>
      <c r="E6" s="84">
        <f>'January - Overview'!$C6-'January - Overview'!$D6</f>
        <v>0</v>
      </c>
      <c r="G6" s="10"/>
      <c r="H6" s="37" t="s">
        <v>6</v>
      </c>
      <c r="I6" s="38"/>
      <c r="J6" s="28"/>
    </row>
    <row r="7" spans="2:10" ht="15">
      <c r="B7" s="85" t="s">
        <v>15</v>
      </c>
      <c r="C7" s="73">
        <f>Transportation[[#Totals],[Budgeted
cost]]</f>
        <v>0</v>
      </c>
      <c r="D7" s="73">
        <f>Transportation[[#Totals],[Actual
cost]]</f>
        <v>0</v>
      </c>
      <c r="E7" s="86">
        <f>'January - Overview'!$C7-'January - Overview'!$D7</f>
        <v>0</v>
      </c>
      <c r="G7" s="10"/>
      <c r="H7" s="69" t="s">
        <v>7</v>
      </c>
      <c r="I7" s="71"/>
      <c r="J7" s="28"/>
    </row>
    <row r="8" spans="2:10" ht="15">
      <c r="B8" s="87" t="s">
        <v>16</v>
      </c>
      <c r="C8" s="72">
        <f>Loans[[#Totals],[Budgeted
cost]]</f>
        <v>0</v>
      </c>
      <c r="D8" s="72">
        <f>Loans[[#Totals],[Actual
cost]]</f>
        <v>0</v>
      </c>
      <c r="E8" s="88">
        <f>'January - Overview'!$C8-'January - Overview'!$D8</f>
        <v>0</v>
      </c>
      <c r="G8" s="10"/>
      <c r="H8" s="41" t="s">
        <v>12</v>
      </c>
      <c r="I8" s="38"/>
      <c r="J8" s="28"/>
    </row>
    <row r="9" spans="2:10" ht="17.45">
      <c r="B9" s="85" t="s">
        <v>18</v>
      </c>
      <c r="C9" s="73">
        <f>Insurance[[#Totals],[Budgeted
cost]]</f>
        <v>0</v>
      </c>
      <c r="D9" s="73">
        <f>Insurance[[#Totals],[Actual
cost]]</f>
        <v>0</v>
      </c>
      <c r="E9" s="86">
        <f>'January - Overview'!$C9-'January - Overview'!$D9</f>
        <v>0</v>
      </c>
      <c r="G9" s="10"/>
      <c r="H9" s="42" t="s">
        <v>14</v>
      </c>
      <c r="I9" s="43">
        <f>SUM(I6:I8)</f>
        <v>0</v>
      </c>
      <c r="J9" s="28"/>
    </row>
    <row r="10" spans="2:10" ht="15">
      <c r="B10" s="87" t="s">
        <v>19</v>
      </c>
      <c r="C10" s="72">
        <f>Entertainment[[#Totals],[Budgeted
cost]]</f>
        <v>0</v>
      </c>
      <c r="D10" s="72">
        <f>Entertainment[[#Totals],[Actual
cost]]</f>
        <v>0</v>
      </c>
      <c r="E10" s="88">
        <f>'January - Overview'!$C10-'January - Overview'!$D10</f>
        <v>0</v>
      </c>
      <c r="G10" s="10"/>
      <c r="H10" s="31"/>
      <c r="I10" s="31"/>
      <c r="J10" s="28"/>
    </row>
    <row r="11" spans="2:10" ht="24.6">
      <c r="B11" s="85" t="s">
        <v>20</v>
      </c>
      <c r="C11" s="94">
        <f>Food[[#Totals],[Budgeted
cost]]</f>
        <v>0</v>
      </c>
      <c r="D11" s="94">
        <f>Food[[#Totals],[Actual
cost]]</f>
        <v>0</v>
      </c>
      <c r="E11" s="95">
        <f>'January - Overview'!$C11-'January - Overview'!$D11</f>
        <v>0</v>
      </c>
      <c r="G11" s="10"/>
      <c r="H11" s="116" t="s">
        <v>34</v>
      </c>
      <c r="I11" s="117"/>
      <c r="J11" s="31"/>
    </row>
    <row r="12" spans="2:10" ht="15">
      <c r="B12" s="87" t="s">
        <v>21</v>
      </c>
      <c r="C12" s="96">
        <f>Taxes[[#Totals],[Budgeted 
cost]]</f>
        <v>0</v>
      </c>
      <c r="D12" s="96">
        <f>Taxes[[#Totals],[Actual 
cost]]</f>
        <v>0</v>
      </c>
      <c r="E12" s="97">
        <f>'January - Overview'!$C12-'January - Overview'!$D12</f>
        <v>0</v>
      </c>
      <c r="G12" s="10"/>
      <c r="H12" s="41" t="s">
        <v>6</v>
      </c>
      <c r="I12" s="44"/>
      <c r="J12" s="30"/>
    </row>
    <row r="13" spans="2:10" ht="15">
      <c r="B13" s="85" t="s">
        <v>22</v>
      </c>
      <c r="C13" s="98">
        <f>Children[[#Totals],[Budgeted
cost]]</f>
        <v>0</v>
      </c>
      <c r="D13" s="98">
        <f>Children[[#Totals],[Actual
cost]]</f>
        <v>0</v>
      </c>
      <c r="E13" s="99">
        <f>'January - Overview'!$C13-'January - Overview'!$D13</f>
        <v>0</v>
      </c>
      <c r="G13" s="10"/>
      <c r="H13" s="69" t="s">
        <v>7</v>
      </c>
      <c r="I13" s="70"/>
      <c r="J13" s="28"/>
    </row>
    <row r="14" spans="2:10" ht="15">
      <c r="B14" s="87" t="s">
        <v>23</v>
      </c>
      <c r="C14" s="100">
        <f>PersonalCare[[#Totals],[Budgeted
cost]]</f>
        <v>0</v>
      </c>
      <c r="D14" s="100">
        <f>PersonalCare[[#Totals],[Actual
cost]]</f>
        <v>0</v>
      </c>
      <c r="E14" s="101">
        <f>'January - Overview'!$C14-'January - Overview'!$D14</f>
        <v>0</v>
      </c>
      <c r="G14" s="10"/>
      <c r="H14" s="41" t="s">
        <v>12</v>
      </c>
      <c r="I14" s="44"/>
      <c r="J14" s="28"/>
    </row>
    <row r="15" spans="2:10" ht="17.45">
      <c r="B15" s="85" t="s">
        <v>25</v>
      </c>
      <c r="C15" s="94">
        <f>Legal[[#Totals],[Budgeted
cost]]</f>
        <v>0</v>
      </c>
      <c r="D15" s="94">
        <f>Legal[[#Totals],[Actual
cost]]</f>
        <v>0</v>
      </c>
      <c r="E15" s="95">
        <f>'January - Overview'!$C15-'January - Overview'!$D15</f>
        <v>0</v>
      </c>
      <c r="G15" s="10"/>
      <c r="H15" s="46" t="s">
        <v>14</v>
      </c>
      <c r="I15" s="47">
        <f>SUM(I12:I14)</f>
        <v>0</v>
      </c>
      <c r="J15" s="28"/>
    </row>
    <row r="16" spans="2:10" ht="15">
      <c r="B16" s="87" t="s">
        <v>27</v>
      </c>
      <c r="C16" s="96">
        <f>Pets[[#Totals],[Budgeted
cost]]</f>
        <v>0</v>
      </c>
      <c r="D16" s="96">
        <f>Pets[[#Totals],[Actual
cost]]</f>
        <v>0</v>
      </c>
      <c r="E16" s="97">
        <f>'January - Overview'!$C16-'January - Overview'!$D16</f>
        <v>0</v>
      </c>
      <c r="G16" s="10"/>
      <c r="H16" s="31"/>
      <c r="I16" s="31"/>
      <c r="J16" s="28"/>
    </row>
    <row r="17" spans="2:10" ht="24.6">
      <c r="B17" s="85" t="s">
        <v>29</v>
      </c>
      <c r="C17" s="73">
        <f>Savings[[#Totals],[Budgeted
cost]]</f>
        <v>0</v>
      </c>
      <c r="D17" s="73">
        <f>Savings[[#Totals],[Actual
cost]]</f>
        <v>0</v>
      </c>
      <c r="E17" s="86">
        <f>'January - Overview'!$C17-'January - Overview'!$D17</f>
        <v>0</v>
      </c>
      <c r="F17" s="10"/>
      <c r="G17" s="8"/>
      <c r="H17" s="118" t="s">
        <v>24</v>
      </c>
      <c r="I17" s="119"/>
      <c r="J17" s="29"/>
    </row>
    <row r="18" spans="2:10" ht="15.6" thickBot="1">
      <c r="B18" s="87" t="s">
        <v>30</v>
      </c>
      <c r="C18" s="72">
        <f>Gifts[[#Totals],[Budgeted
cost]]</f>
        <v>0</v>
      </c>
      <c r="D18" s="72">
        <f>Gifts[[#Totals],[Actual
cost]]</f>
        <v>0</v>
      </c>
      <c r="E18" s="88">
        <f>'January - Overview'!$C18-'January - Overview'!$D18</f>
        <v>0</v>
      </c>
      <c r="F18" s="34"/>
      <c r="G18" s="35"/>
      <c r="H18" s="48" t="s">
        <v>35</v>
      </c>
      <c r="I18" s="49">
        <f>SUM(I9-'January - Overview'!$C$3:$C$3)</f>
        <v>0</v>
      </c>
      <c r="J18" s="29"/>
    </row>
    <row r="19" spans="2:10" s="32" customFormat="1" ht="25.15" thickTop="1">
      <c r="B19" s="91" t="s">
        <v>31</v>
      </c>
      <c r="C19" s="92">
        <f>SUBTOTAL(109,'January - Overview'!$C$6:$C$18)</f>
        <v>0</v>
      </c>
      <c r="D19" s="92">
        <f>SUBTOTAL(109,'January - Overview'!$D$6:$D$18)</f>
        <v>0</v>
      </c>
      <c r="E19" s="93">
        <f>SUBTOTAL(109,'January - Overview'!$E$6:$E$18)</f>
        <v>0</v>
      </c>
      <c r="H19" s="67" t="s">
        <v>36</v>
      </c>
      <c r="I19" s="68">
        <f>SUM(I15-D3)</f>
        <v>0</v>
      </c>
    </row>
    <row r="20" spans="2:10" ht="17.45">
      <c r="H20" s="52" t="s">
        <v>11</v>
      </c>
      <c r="I20" s="53">
        <f>SUM(I19-I18)</f>
        <v>0</v>
      </c>
    </row>
    <row r="21" spans="2:10" ht="30" customHeight="1">
      <c r="H21" s="8"/>
      <c r="I21" s="9"/>
    </row>
    <row r="22" spans="2:10" ht="30" customHeight="1">
      <c r="I22"/>
    </row>
    <row r="23" spans="2:10" ht="30" customHeight="1">
      <c r="I23"/>
    </row>
    <row r="24" spans="2:10" ht="30" customHeight="1">
      <c r="I24"/>
    </row>
    <row r="25" spans="2:10" ht="30" customHeight="1">
      <c r="I25"/>
    </row>
    <row r="26" spans="2:10" ht="30" customHeight="1">
      <c r="I26"/>
    </row>
    <row r="27" spans="2:10" ht="37.9" customHeight="1">
      <c r="I27"/>
    </row>
    <row r="28" spans="2:10" ht="30" customHeight="1">
      <c r="I28"/>
    </row>
    <row r="29" spans="2:10" ht="48" customHeight="1">
      <c r="I29"/>
    </row>
    <row r="30" spans="2:10" ht="30" customHeight="1">
      <c r="I30"/>
    </row>
    <row r="31" spans="2:10" ht="30" customHeight="1">
      <c r="I31"/>
    </row>
    <row r="32" spans="2:10" ht="30" customHeight="1">
      <c r="I32"/>
    </row>
    <row r="33" spans="9:9" ht="30" customHeight="1">
      <c r="I33"/>
    </row>
    <row r="34" spans="9:9" ht="30" customHeight="1">
      <c r="I34"/>
    </row>
    <row r="35" spans="9:9" ht="30" customHeight="1">
      <c r="I35"/>
    </row>
    <row r="36" spans="9:9" ht="30" customHeight="1">
      <c r="I36"/>
    </row>
    <row r="37" spans="9:9" ht="30" customHeight="1">
      <c r="I37"/>
    </row>
    <row r="38" spans="9:9" ht="30" customHeight="1">
      <c r="I38"/>
    </row>
    <row r="39" spans="9:9" ht="30" customHeight="1">
      <c r="I39"/>
    </row>
    <row r="40" spans="9:9" ht="37.9" customHeight="1">
      <c r="I40"/>
    </row>
    <row r="41" spans="9:9" ht="30" customHeight="1">
      <c r="I41"/>
    </row>
    <row r="42" spans="9:9" ht="48" customHeight="1">
      <c r="I42"/>
    </row>
    <row r="43" spans="9:9" ht="30" customHeight="1">
      <c r="I43"/>
    </row>
    <row r="44" spans="9:9" ht="30" customHeight="1">
      <c r="I44"/>
    </row>
    <row r="45" spans="9:9" ht="30" customHeight="1">
      <c r="I45"/>
    </row>
    <row r="46" spans="9:9" ht="30" customHeight="1">
      <c r="I46"/>
    </row>
    <row r="47" spans="9:9" ht="30" customHeight="1">
      <c r="I47"/>
    </row>
    <row r="48" spans="9:9" ht="30" customHeight="1">
      <c r="I48"/>
    </row>
    <row r="49" spans="9:9" ht="37.9" customHeight="1">
      <c r="I49"/>
    </row>
    <row r="50" spans="9:9" ht="30" customHeight="1">
      <c r="I50"/>
    </row>
    <row r="51" spans="9:9" ht="48" customHeight="1">
      <c r="I51"/>
    </row>
    <row r="52" spans="9:9" ht="30" customHeight="1">
      <c r="I52"/>
    </row>
    <row r="53" spans="9:9" ht="30" customHeight="1">
      <c r="I53"/>
    </row>
    <row r="54" spans="9:9" ht="30" customHeight="1">
      <c r="I54"/>
    </row>
    <row r="55" spans="9:9" ht="30" customHeight="1">
      <c r="I55"/>
    </row>
    <row r="56" spans="9:9" ht="30" customHeight="1">
      <c r="I56"/>
    </row>
    <row r="57" spans="9:9" ht="30" customHeight="1">
      <c r="I57"/>
    </row>
    <row r="58" spans="9:9" ht="30" customHeight="1">
      <c r="I58"/>
    </row>
    <row r="59" spans="9:9" ht="30" customHeight="1">
      <c r="I59"/>
    </row>
    <row r="60" spans="9:9" ht="30" customHeight="1">
      <c r="I60"/>
    </row>
    <row r="61" spans="9:9" ht="30" customHeight="1">
      <c r="I61"/>
    </row>
  </sheetData>
  <mergeCells count="4">
    <mergeCell ref="H5:I5"/>
    <mergeCell ref="H11:I11"/>
    <mergeCell ref="H17:I17"/>
    <mergeCell ref="B1:H1"/>
  </mergeCells>
  <phoneticPr fontId="1" type="noConversion"/>
  <conditionalFormatting sqref="B1 I1:J4 B2:F2 B3 D3:F3 F4 H5:H6 G5:G16 J5:J18 I6 H7:I10 H11 H12:I15 H16:H17 F17:G18 H18:I21">
    <cfRule type="cellIs" dxfId="1319" priority="14" operator="lessThan">
      <formula>0</formula>
    </cfRule>
  </conditionalFormatting>
  <conditionalFormatting sqref="B6:E19">
    <cfRule type="cellIs" dxfId="1318" priority="1" operator="lessThan">
      <formula>0</formula>
    </cfRule>
  </conditionalFormatting>
  <conditionalFormatting sqref="C3">
    <cfRule type="cellIs" dxfId="1317" priority="13" operator="lessThan">
      <formula>0</formula>
    </cfRule>
  </conditionalFormatting>
  <conditionalFormatting sqref="E3">
    <cfRule type="iconSet" priority="3">
      <iconSet iconSet="3Arrows">
        <cfvo type="percentile" val="0"/>
        <cfvo type="num" val="-50"/>
        <cfvo type="num" val="50"/>
      </iconSet>
    </cfRule>
  </conditionalFormatting>
  <conditionalFormatting sqref="E6:E18">
    <cfRule type="iconSet" priority="2">
      <iconSet iconSet="3Arrows">
        <cfvo type="percentile" val="0"/>
        <cfvo type="num" val="-50"/>
        <cfvo type="num" val="50"/>
      </iconSet>
    </cfRule>
  </conditionalFormatting>
  <conditionalFormatting sqref="I20:I21">
    <cfRule type="iconSet" priority="16">
      <iconSet iconSet="3Arrows">
        <cfvo type="percentile" val="0"/>
        <cfvo type="num" val="-50"/>
        <cfvo type="num" val="50"/>
      </iconSet>
    </cfRule>
  </conditionalFormatting>
  <dataValidations count="11">
    <dataValidation allowBlank="1" showInputMessage="1" showErrorMessage="1" prompt="Create a Family Budget Planner in this worksheet. Enter details in tables. Total Projected and Actual Costs, Projected and Actual Balance, and Difference are auto calculated" sqref="A1" xr:uid="{00000000-0002-0000-0000-000000000000}"/>
    <dataValidation allowBlank="1" showInputMessage="1" showErrorMessage="1" prompt="Title of this worksheet is in this cell. Summary is in table below. Sample expense categories are in separate tables starting in B5. Enter income amounts starting in cell G2" sqref="B1" xr:uid="{00000000-0002-0000-0000-000001000000}"/>
    <dataValidation allowBlank="1" showInputMessage="1" showErrorMessage="1" prompt="Total Projected Cost is auto calculated in cell below" sqref="C2" xr:uid="{00000000-0002-0000-0000-000002000000}"/>
    <dataValidation allowBlank="1" showInputMessage="1" showErrorMessage="1" prompt="Total Actual Cost is auto calculated in cell below" sqref="D2" xr:uid="{00000000-0002-0000-0000-000003000000}"/>
    <dataValidation allowBlank="1" showInputMessage="1" showErrorMessage="1" prompt="Total Difference is auto calculated in cell below" sqref="E2" xr:uid="{00000000-0002-0000-0000-000004000000}"/>
    <dataValidation allowBlank="1" showInputMessage="1" showErrorMessage="1" prompt="Enter Projected Monthly Income Source in this column under this heading" sqref="H5" xr:uid="{00000000-0002-0000-0000-000006000000}"/>
    <dataValidation allowBlank="1" showInputMessage="1" showErrorMessage="1" prompt="Enter details in Actual Monthly Income table below" sqref="H10" xr:uid="{00000000-0002-0000-0000-000008000000}"/>
    <dataValidation allowBlank="1" showInputMessage="1" showErrorMessage="1" prompt="Enter Actual Monthly Income Source in this column under this heading" sqref="H11" xr:uid="{00000000-0002-0000-0000-000009000000}"/>
    <dataValidation allowBlank="1" showInputMessage="1" showErrorMessage="1" prompt="Balance table below is auto updated" sqref="H16" xr:uid="{00000000-0002-0000-0000-00000A000000}"/>
    <dataValidation allowBlank="1" showInputMessage="1" showErrorMessage="1" prompt="Balance is in this column under this heading" sqref="H17" xr:uid="{00000000-0002-0000-0000-00000B000000}"/>
    <dataValidation allowBlank="1" showInputMessage="1" showErrorMessage="1" prompt="Total Projected, Actual, and Difference is auto calculated in this table" sqref="B2" xr:uid="{00000000-0002-0000-0000-00001C000000}"/>
  </dataValidations>
  <printOptions horizontalCentered="1"/>
  <pageMargins left="0.23622047244094491" right="0.23622047244094491" top="0.51181102362204722" bottom="0.51181102362204722" header="0.51181102362204722" footer="0.51181102362204722"/>
  <pageSetup scale="60" orientation="landscape" r:id="rId1"/>
  <headerFooter alignWithMargins="0"/>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1E227-4C84-4BC7-8FEC-6E3C4DFE864F}">
  <sheetPr>
    <tabColor theme="4"/>
  </sheetPr>
  <dimension ref="B1:J61"/>
  <sheetViews>
    <sheetView zoomScale="70" zoomScaleNormal="70" zoomScalePageLayoutView="70" workbookViewId="0">
      <selection activeCell="C3" sqref="C3:D3"/>
    </sheetView>
  </sheetViews>
  <sheetFormatPr defaultColWidth="9" defaultRowHeight="30" customHeight="1"/>
  <cols>
    <col min="1" max="1" width="1.25" customWidth="1"/>
    <col min="2" max="6" width="24.625" customWidth="1"/>
    <col min="7" max="7" width="7.75" customWidth="1"/>
    <col min="8" max="8" width="32.875" customWidth="1"/>
    <col min="9" max="9" width="32.875" style="2" customWidth="1"/>
    <col min="10" max="10" width="2.375" customWidth="1"/>
  </cols>
  <sheetData>
    <row r="1" spans="2:10" ht="77.25" customHeight="1">
      <c r="B1" s="113" t="s">
        <v>105</v>
      </c>
      <c r="C1" s="113"/>
      <c r="D1" s="113"/>
      <c r="E1" s="113"/>
      <c r="F1" s="113"/>
      <c r="G1" s="113"/>
      <c r="H1" s="113"/>
      <c r="I1" s="26"/>
      <c r="J1" s="27"/>
    </row>
    <row r="2" spans="2:10" ht="35.450000000000003">
      <c r="B2" s="54" t="s">
        <v>1</v>
      </c>
      <c r="C2" s="24" t="s">
        <v>2</v>
      </c>
      <c r="D2" s="55" t="s">
        <v>3</v>
      </c>
      <c r="E2" s="25" t="s">
        <v>4</v>
      </c>
      <c r="F2" s="1"/>
      <c r="H2" s="36"/>
      <c r="I2" s="26"/>
      <c r="J2" s="29"/>
    </row>
    <row r="3" spans="2:10" ht="35.450000000000003">
      <c r="B3" s="11"/>
      <c r="C3" s="76">
        <f>C19</f>
        <v>0</v>
      </c>
      <c r="D3" s="76">
        <f>D19</f>
        <v>0</v>
      </c>
      <c r="E3" s="78">
        <f>SUM(C3-D3)</f>
        <v>0</v>
      </c>
      <c r="F3" s="1"/>
      <c r="H3" s="36"/>
      <c r="I3" s="26"/>
      <c r="J3" s="29"/>
    </row>
    <row r="4" spans="2:10" ht="35.450000000000003">
      <c r="C4" s="33"/>
      <c r="D4" s="33"/>
      <c r="E4" s="33"/>
      <c r="F4" s="10"/>
      <c r="H4" s="36"/>
      <c r="I4" s="26"/>
      <c r="J4" s="29"/>
    </row>
    <row r="5" spans="2:10" ht="27.6">
      <c r="B5" s="79" t="s">
        <v>8</v>
      </c>
      <c r="C5" s="80" t="s">
        <v>9</v>
      </c>
      <c r="D5" s="80" t="s">
        <v>10</v>
      </c>
      <c r="E5" s="81" t="s">
        <v>11</v>
      </c>
      <c r="G5" s="10"/>
      <c r="H5" s="114" t="s">
        <v>33</v>
      </c>
      <c r="I5" s="115"/>
      <c r="J5" s="30"/>
    </row>
    <row r="6" spans="2:10" ht="15">
      <c r="B6" s="82" t="s">
        <v>13</v>
      </c>
      <c r="C6" s="83">
        <f>Housing[[#Totals],[Budgeted
cost]]</f>
        <v>0</v>
      </c>
      <c r="D6" s="83">
        <f>Housing[[#Totals],[Actual
cost]]</f>
        <v>0</v>
      </c>
      <c r="E6" s="84">
        <f>'October - Overview'!$C6-'October - Overview'!$D6</f>
        <v>0</v>
      </c>
      <c r="G6" s="10"/>
      <c r="H6" s="37" t="s">
        <v>6</v>
      </c>
      <c r="I6" s="38"/>
      <c r="J6" s="28"/>
    </row>
    <row r="7" spans="2:10" ht="15">
      <c r="B7" s="85" t="s">
        <v>15</v>
      </c>
      <c r="C7" s="73">
        <f>Transportation[[#Totals],[Budgeted
cost]]</f>
        <v>0</v>
      </c>
      <c r="D7" s="73">
        <f>Transportation[[#Totals],[Actual
cost]]</f>
        <v>0</v>
      </c>
      <c r="E7" s="86">
        <f>'October - Overview'!$C7-'October - Overview'!$D7</f>
        <v>0</v>
      </c>
      <c r="G7" s="10"/>
      <c r="H7" s="69" t="s">
        <v>7</v>
      </c>
      <c r="I7" s="71"/>
      <c r="J7" s="28"/>
    </row>
    <row r="8" spans="2:10" ht="15">
      <c r="B8" s="87" t="s">
        <v>16</v>
      </c>
      <c r="C8" s="72">
        <f>Loans[[#Totals],[Budgeted
cost]]</f>
        <v>0</v>
      </c>
      <c r="D8" s="72">
        <f>Loans[[#Totals],[Actual
cost]]</f>
        <v>0</v>
      </c>
      <c r="E8" s="88">
        <f>'October - Overview'!$C8-'October - Overview'!$D8</f>
        <v>0</v>
      </c>
      <c r="G8" s="10"/>
      <c r="H8" s="41" t="s">
        <v>12</v>
      </c>
      <c r="I8" s="38"/>
      <c r="J8" s="28"/>
    </row>
    <row r="9" spans="2:10" ht="17.45">
      <c r="B9" s="85" t="s">
        <v>18</v>
      </c>
      <c r="C9" s="73">
        <f>Insurance[[#Totals],[Budgeted
cost]]</f>
        <v>0</v>
      </c>
      <c r="D9" s="73">
        <f>Insurance[[#Totals],[Actual
cost]]</f>
        <v>0</v>
      </c>
      <c r="E9" s="86">
        <f>'October - Overview'!$C9-'October - Overview'!$D9</f>
        <v>0</v>
      </c>
      <c r="G9" s="10"/>
      <c r="H9" s="42" t="s">
        <v>14</v>
      </c>
      <c r="I9" s="43">
        <f>SUM(I6:I8)</f>
        <v>0</v>
      </c>
      <c r="J9" s="28"/>
    </row>
    <row r="10" spans="2:10" ht="15">
      <c r="B10" s="87" t="s">
        <v>19</v>
      </c>
      <c r="C10" s="72">
        <f>Entertainment[[#Totals],[Budgeted
cost]]</f>
        <v>0</v>
      </c>
      <c r="D10" s="72">
        <f>Entertainment[[#Totals],[Actual
cost]]</f>
        <v>0</v>
      </c>
      <c r="E10" s="88">
        <f>'October - Overview'!$C10-'October - Overview'!$D10</f>
        <v>0</v>
      </c>
      <c r="G10" s="10"/>
      <c r="H10" s="31"/>
      <c r="I10" s="31"/>
      <c r="J10" s="28"/>
    </row>
    <row r="11" spans="2:10" ht="24.6">
      <c r="B11" s="85" t="s">
        <v>20</v>
      </c>
      <c r="C11" s="94">
        <f>Food[[#Totals],[Budgeted
cost]]</f>
        <v>0</v>
      </c>
      <c r="D11" s="94">
        <f>Food[[#Totals],[Actual
cost]]</f>
        <v>0</v>
      </c>
      <c r="E11" s="95">
        <f>'October - Overview'!$C11-'October - Overview'!$D11</f>
        <v>0</v>
      </c>
      <c r="G11" s="10"/>
      <c r="H11" s="116" t="s">
        <v>34</v>
      </c>
      <c r="I11" s="117"/>
      <c r="J11" s="31"/>
    </row>
    <row r="12" spans="2:10" ht="15">
      <c r="B12" s="87" t="s">
        <v>21</v>
      </c>
      <c r="C12" s="96">
        <f>Taxes[[#Totals],[Budgeted 
cost]]</f>
        <v>0</v>
      </c>
      <c r="D12" s="96">
        <f>Taxes[[#Totals],[Actual 
cost]]</f>
        <v>0</v>
      </c>
      <c r="E12" s="97">
        <f>'October - Overview'!$C12-'October - Overview'!$D12</f>
        <v>0</v>
      </c>
      <c r="G12" s="10"/>
      <c r="H12" s="41" t="s">
        <v>6</v>
      </c>
      <c r="I12" s="44"/>
      <c r="J12" s="30"/>
    </row>
    <row r="13" spans="2:10" ht="15">
      <c r="B13" s="85" t="s">
        <v>22</v>
      </c>
      <c r="C13" s="98">
        <f>Children[[#Totals],[Budgeted
cost]]</f>
        <v>0</v>
      </c>
      <c r="D13" s="98">
        <f>Children[[#Totals],[Actual
cost]]</f>
        <v>0</v>
      </c>
      <c r="E13" s="99">
        <f>'October - Overview'!$C13-'October - Overview'!$D13</f>
        <v>0</v>
      </c>
      <c r="G13" s="10"/>
      <c r="H13" s="69" t="s">
        <v>7</v>
      </c>
      <c r="I13" s="70"/>
      <c r="J13" s="28"/>
    </row>
    <row r="14" spans="2:10" ht="15">
      <c r="B14" s="87" t="s">
        <v>23</v>
      </c>
      <c r="C14" s="100">
        <f>PersonalCare[[#Totals],[Budgeted
cost]]</f>
        <v>0</v>
      </c>
      <c r="D14" s="100">
        <f>PersonalCare[[#Totals],[Actual
cost]]</f>
        <v>0</v>
      </c>
      <c r="E14" s="101">
        <f>'October - Overview'!$C14-'October - Overview'!$D14</f>
        <v>0</v>
      </c>
      <c r="G14" s="10"/>
      <c r="H14" s="41" t="s">
        <v>12</v>
      </c>
      <c r="I14" s="44"/>
      <c r="J14" s="28"/>
    </row>
    <row r="15" spans="2:10" ht="17.45">
      <c r="B15" s="85" t="s">
        <v>25</v>
      </c>
      <c r="C15" s="94">
        <f>Legal[[#Totals],[Budgeted
cost]]</f>
        <v>0</v>
      </c>
      <c r="D15" s="94">
        <f>Legal[[#Totals],[Actual
cost]]</f>
        <v>0</v>
      </c>
      <c r="E15" s="95">
        <f>'October - Overview'!$C15-'October - Overview'!$D15</f>
        <v>0</v>
      </c>
      <c r="G15" s="10"/>
      <c r="H15" s="46" t="s">
        <v>14</v>
      </c>
      <c r="I15" s="47">
        <f>SUM(I12:I14)</f>
        <v>0</v>
      </c>
      <c r="J15" s="28"/>
    </row>
    <row r="16" spans="2:10" ht="15">
      <c r="B16" s="87" t="s">
        <v>27</v>
      </c>
      <c r="C16" s="96">
        <f>Pets[[#Totals],[Budgeted
cost]]</f>
        <v>0</v>
      </c>
      <c r="D16" s="96">
        <f>Pets[[#Totals],[Actual
cost]]</f>
        <v>0</v>
      </c>
      <c r="E16" s="97">
        <f>'October - Overview'!$C16-'October - Overview'!$D16</f>
        <v>0</v>
      </c>
      <c r="G16" s="10"/>
      <c r="H16" s="31"/>
      <c r="I16" s="31"/>
      <c r="J16" s="28"/>
    </row>
    <row r="17" spans="2:10" ht="24.6">
      <c r="B17" s="85" t="s">
        <v>29</v>
      </c>
      <c r="C17" s="73">
        <f>Savings[[#Totals],[Budgeted
cost]]</f>
        <v>0</v>
      </c>
      <c r="D17" s="73">
        <f>Savings[[#Totals],[Actual
cost]]</f>
        <v>0</v>
      </c>
      <c r="E17" s="86">
        <f>'October - Overview'!$C17-'October - Overview'!$D17</f>
        <v>0</v>
      </c>
      <c r="F17" s="10"/>
      <c r="G17" s="8"/>
      <c r="H17" s="118" t="s">
        <v>24</v>
      </c>
      <c r="I17" s="119"/>
      <c r="J17" s="29"/>
    </row>
    <row r="18" spans="2:10" ht="15.6" thickBot="1">
      <c r="B18" s="87" t="s">
        <v>30</v>
      </c>
      <c r="C18" s="72">
        <f>Gifts[[#Totals],[Budgeted
cost]]</f>
        <v>0</v>
      </c>
      <c r="D18" s="72">
        <f>Gifts[[#Totals],[Actual
cost]]</f>
        <v>0</v>
      </c>
      <c r="E18" s="88">
        <f>'October - Overview'!$C18-'October - Overview'!$D18</f>
        <v>0</v>
      </c>
      <c r="F18" s="34"/>
      <c r="G18" s="35"/>
      <c r="H18" s="48" t="s">
        <v>35</v>
      </c>
      <c r="I18" s="49">
        <f>SUM(I9-'October - Overview'!$C$3:$C$3)</f>
        <v>0</v>
      </c>
      <c r="J18" s="29"/>
    </row>
    <row r="19" spans="2:10" s="32" customFormat="1" ht="25.15" thickTop="1">
      <c r="B19" s="91" t="s">
        <v>31</v>
      </c>
      <c r="C19" s="92">
        <f>SUBTOTAL(109,'October - Overview'!$C$6:$C$18)</f>
        <v>0</v>
      </c>
      <c r="D19" s="92">
        <f>SUBTOTAL(109,'October - Overview'!$D$6:$D$18)</f>
        <v>0</v>
      </c>
      <c r="E19" s="93">
        <f>SUBTOTAL(109,'October - Overview'!$E$6:$E$18)</f>
        <v>0</v>
      </c>
      <c r="H19" s="67" t="s">
        <v>36</v>
      </c>
      <c r="I19" s="68">
        <f>SUM(I15-D3)</f>
        <v>0</v>
      </c>
    </row>
    <row r="20" spans="2:10" ht="17.45">
      <c r="H20" s="52" t="s">
        <v>11</v>
      </c>
      <c r="I20" s="53">
        <f>SUM(I19-I18)</f>
        <v>0</v>
      </c>
    </row>
    <row r="21" spans="2:10" ht="30" customHeight="1">
      <c r="H21" s="8"/>
      <c r="I21" s="9"/>
    </row>
    <row r="22" spans="2:10" ht="30" customHeight="1">
      <c r="I22"/>
    </row>
    <row r="23" spans="2:10" ht="30" customHeight="1">
      <c r="I23"/>
    </row>
    <row r="24" spans="2:10" ht="30" customHeight="1">
      <c r="I24"/>
    </row>
    <row r="25" spans="2:10" ht="30" customHeight="1">
      <c r="I25"/>
    </row>
    <row r="26" spans="2:10" ht="30" customHeight="1">
      <c r="I26"/>
    </row>
    <row r="27" spans="2:10" ht="37.9" customHeight="1">
      <c r="I27"/>
    </row>
    <row r="28" spans="2:10" ht="30" customHeight="1">
      <c r="I28"/>
    </row>
    <row r="29" spans="2:10" ht="48" customHeight="1">
      <c r="I29"/>
    </row>
    <row r="30" spans="2:10" ht="30" customHeight="1">
      <c r="I30"/>
    </row>
    <row r="31" spans="2:10" ht="30" customHeight="1">
      <c r="I31"/>
    </row>
    <row r="32" spans="2:10" ht="30" customHeight="1">
      <c r="I32"/>
    </row>
    <row r="33" spans="9:9" ht="30" customHeight="1">
      <c r="I33"/>
    </row>
    <row r="34" spans="9:9" ht="30" customHeight="1">
      <c r="I34"/>
    </row>
    <row r="35" spans="9:9" ht="30" customHeight="1">
      <c r="I35"/>
    </row>
    <row r="36" spans="9:9" ht="30" customHeight="1">
      <c r="I36"/>
    </row>
    <row r="37" spans="9:9" ht="30" customHeight="1">
      <c r="I37"/>
    </row>
    <row r="38" spans="9:9" ht="30" customHeight="1">
      <c r="I38"/>
    </row>
    <row r="39" spans="9:9" ht="30" customHeight="1">
      <c r="I39"/>
    </row>
    <row r="40" spans="9:9" ht="37.9" customHeight="1">
      <c r="I40"/>
    </row>
    <row r="41" spans="9:9" ht="30" customHeight="1">
      <c r="I41"/>
    </row>
    <row r="42" spans="9:9" ht="48" customHeight="1">
      <c r="I42"/>
    </row>
    <row r="43" spans="9:9" ht="30" customHeight="1">
      <c r="I43"/>
    </row>
    <row r="44" spans="9:9" ht="30" customHeight="1">
      <c r="I44"/>
    </row>
    <row r="45" spans="9:9" ht="30" customHeight="1">
      <c r="I45"/>
    </row>
    <row r="46" spans="9:9" ht="30" customHeight="1">
      <c r="I46"/>
    </row>
    <row r="47" spans="9:9" ht="30" customHeight="1">
      <c r="I47"/>
    </row>
    <row r="48" spans="9:9" ht="30" customHeight="1">
      <c r="I48"/>
    </row>
    <row r="49" spans="9:9" ht="37.9" customHeight="1">
      <c r="I49"/>
    </row>
    <row r="50" spans="9:9" ht="30" customHeight="1">
      <c r="I50"/>
    </row>
    <row r="51" spans="9:9" ht="48" customHeight="1">
      <c r="I51"/>
    </row>
    <row r="52" spans="9:9" ht="30" customHeight="1">
      <c r="I52"/>
    </row>
    <row r="53" spans="9:9" ht="30" customHeight="1">
      <c r="I53"/>
    </row>
    <row r="54" spans="9:9" ht="30" customHeight="1">
      <c r="I54"/>
    </row>
    <row r="55" spans="9:9" ht="30" customHeight="1">
      <c r="I55"/>
    </row>
    <row r="56" spans="9:9" ht="30" customHeight="1">
      <c r="I56"/>
    </row>
    <row r="57" spans="9:9" ht="30" customHeight="1">
      <c r="I57"/>
    </row>
    <row r="58" spans="9:9" ht="30" customHeight="1">
      <c r="I58"/>
    </row>
    <row r="59" spans="9:9" ht="30" customHeight="1">
      <c r="I59"/>
    </row>
    <row r="60" spans="9:9" ht="30" customHeight="1">
      <c r="I60"/>
    </row>
    <row r="61" spans="9:9" ht="30" customHeight="1">
      <c r="I61"/>
    </row>
  </sheetData>
  <mergeCells count="4">
    <mergeCell ref="B1:H1"/>
    <mergeCell ref="H5:I5"/>
    <mergeCell ref="H11:I11"/>
    <mergeCell ref="H17:I17"/>
  </mergeCells>
  <conditionalFormatting sqref="B1 I1:J4 B2:F2 B3 E3:F3 F4 H5:H6 G5:G16 J5:J18 I6 H7:I10 H11 H12:I15 H16:H17 F17:G18 H18:I21">
    <cfRule type="cellIs" dxfId="329" priority="5" operator="lessThan">
      <formula>0</formula>
    </cfRule>
  </conditionalFormatting>
  <conditionalFormatting sqref="B6:E19">
    <cfRule type="cellIs" dxfId="328" priority="1" operator="lessThan">
      <formula>0</formula>
    </cfRule>
  </conditionalFormatting>
  <conditionalFormatting sqref="C3:D3">
    <cfRule type="cellIs" dxfId="327" priority="4" operator="lessThan">
      <formula>0</formula>
    </cfRule>
  </conditionalFormatting>
  <conditionalFormatting sqref="E3">
    <cfRule type="iconSet" priority="3">
      <iconSet iconSet="3Arrows">
        <cfvo type="percentile" val="0"/>
        <cfvo type="num" val="-50"/>
        <cfvo type="num" val="50"/>
      </iconSet>
    </cfRule>
  </conditionalFormatting>
  <conditionalFormatting sqref="E6:E18">
    <cfRule type="iconSet" priority="2">
      <iconSet iconSet="3Arrows">
        <cfvo type="percentile" val="0"/>
        <cfvo type="num" val="-50"/>
        <cfvo type="num" val="50"/>
      </iconSet>
    </cfRule>
  </conditionalFormatting>
  <conditionalFormatting sqref="I20:I21">
    <cfRule type="iconSet" priority="6">
      <iconSet iconSet="3Arrows">
        <cfvo type="percentile" val="0"/>
        <cfvo type="num" val="-50"/>
        <cfvo type="num" val="50"/>
      </iconSet>
    </cfRule>
  </conditionalFormatting>
  <dataValidations count="11">
    <dataValidation allowBlank="1" showInputMessage="1" showErrorMessage="1" prompt="Create a Family Budget Planner in this worksheet. Enter details in tables. Total Projected and Actual Costs, Projected and Actual Balance, and Difference are auto calculated" sqref="A1" xr:uid="{E726B3FE-730D-4A6E-960D-2B6549661E38}"/>
    <dataValidation allowBlank="1" showInputMessage="1" showErrorMessage="1" prompt="Title of this worksheet is in this cell. Summary is in table below. Sample expense categories are in separate tables starting in B5. Enter income amounts starting in cell G2" sqref="B1" xr:uid="{D20C36FE-A3F0-484F-A4FA-552E1FCC7166}"/>
    <dataValidation allowBlank="1" showInputMessage="1" showErrorMessage="1" prompt="Total Projected Cost is auto calculated in cell below" sqref="C2" xr:uid="{F2466FBD-1751-4D34-A2B9-A5D43C70AB96}"/>
    <dataValidation allowBlank="1" showInputMessage="1" showErrorMessage="1" prompt="Total Actual Cost is auto calculated in cell below" sqref="D2" xr:uid="{E7D62BCC-E193-4DC7-BBD4-40808E9731E5}"/>
    <dataValidation allowBlank="1" showInputMessage="1" showErrorMessage="1" prompt="Total Difference is auto calculated in cell below" sqref="E2" xr:uid="{B22743C1-5610-44FC-85E3-0E994CA23E7C}"/>
    <dataValidation allowBlank="1" showInputMessage="1" showErrorMessage="1" prompt="Enter Projected Monthly Income Source in this column under this heading" sqref="H5" xr:uid="{F0FED0F7-2305-46D9-90FB-A2F2A77FA39E}"/>
    <dataValidation allowBlank="1" showInputMessage="1" showErrorMessage="1" prompt="Enter details in Actual Monthly Income table below" sqref="H10" xr:uid="{D1033C0A-A53E-4851-8553-C943784D0264}"/>
    <dataValidation allowBlank="1" showInputMessage="1" showErrorMessage="1" prompt="Enter Actual Monthly Income Source in this column under this heading" sqref="H11" xr:uid="{1D8B266A-06FB-472D-BAC4-BC889B7D1CAA}"/>
    <dataValidation allowBlank="1" showInputMessage="1" showErrorMessage="1" prompt="Balance table below is auto updated" sqref="H16" xr:uid="{0109C8B1-C724-4EFB-950D-603E47FF4BA6}"/>
    <dataValidation allowBlank="1" showInputMessage="1" showErrorMessage="1" prompt="Balance is in this column under this heading" sqref="H17" xr:uid="{217C46E1-54F6-4A87-97BF-7F3B71C38029}"/>
    <dataValidation allowBlank="1" showInputMessage="1" showErrorMessage="1" prompt="Total Projected, Actual, and Difference is auto calculated in this table" sqref="B2" xr:uid="{C3C74947-7ECF-49F3-894C-A484F090DD3E}"/>
  </dataValidations>
  <printOptions horizontalCentered="1"/>
  <pageMargins left="0.23622047244094491" right="0.23622047244094491" top="0.51181102362204722" bottom="0.51181102362204722" header="0.51181102362204722" footer="0.51181102362204722"/>
  <pageSetup scale="60" orientation="landscape" r:id="rId1"/>
  <headerFooter alignWithMargins="0"/>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34E89-49B8-46C6-8ABF-08EC4FFDE7DE}">
  <sheetPr>
    <tabColor theme="2" tint="-9.9978637043366805E-2"/>
  </sheetPr>
  <dimension ref="B1:L74"/>
  <sheetViews>
    <sheetView topLeftCell="A9" zoomScale="70" zoomScaleNormal="70" workbookViewId="0">
      <selection activeCell="I36" sqref="I36"/>
    </sheetView>
  </sheetViews>
  <sheetFormatPr defaultColWidth="9" defaultRowHeight="13.9"/>
  <cols>
    <col min="1" max="1" width="2.375" style="12" customWidth="1"/>
    <col min="2" max="2" width="29.75" style="12" bestFit="1" customWidth="1"/>
    <col min="3" max="3" width="13.5" style="12" bestFit="1" customWidth="1"/>
    <col min="4" max="4" width="10.25" style="12" bestFit="1" customWidth="1"/>
    <col min="5" max="5" width="14.875" style="66" bestFit="1" customWidth="1"/>
    <col min="6" max="6" width="14.25" style="12" bestFit="1" customWidth="1"/>
    <col min="7" max="7" width="5.5" style="12" customWidth="1"/>
    <col min="8" max="8" width="28.125" style="12" bestFit="1" customWidth="1"/>
    <col min="9" max="9" width="13.5" style="12" bestFit="1" customWidth="1"/>
    <col min="10" max="10" width="10.25" style="12" bestFit="1" customWidth="1"/>
    <col min="11" max="11" width="12.875" style="12" bestFit="1" customWidth="1"/>
    <col min="12" max="12" width="14.25" style="12" bestFit="1" customWidth="1"/>
    <col min="13" max="16384" width="9" style="12"/>
  </cols>
  <sheetData>
    <row r="1" spans="2:12" ht="15" customHeight="1">
      <c r="B1" s="56"/>
      <c r="C1" s="56"/>
      <c r="D1" s="56"/>
      <c r="E1" s="74"/>
      <c r="F1" s="75"/>
      <c r="G1" s="56"/>
      <c r="H1" s="56"/>
      <c r="I1" s="56"/>
      <c r="J1" s="56"/>
    </row>
    <row r="2" spans="2:12" ht="15" customHeight="1">
      <c r="B2" s="22" t="s">
        <v>13</v>
      </c>
      <c r="C2" s="21" t="s">
        <v>9</v>
      </c>
      <c r="D2" s="21" t="s">
        <v>10</v>
      </c>
      <c r="E2" s="57" t="s">
        <v>37</v>
      </c>
      <c r="F2" s="21" t="s">
        <v>11</v>
      </c>
      <c r="G2" s="56"/>
      <c r="H2" s="22" t="s">
        <v>29</v>
      </c>
      <c r="I2" s="21" t="s">
        <v>9</v>
      </c>
      <c r="J2" s="21" t="s">
        <v>10</v>
      </c>
      <c r="K2" s="63" t="s">
        <v>37</v>
      </c>
      <c r="L2" s="21" t="s">
        <v>11</v>
      </c>
    </row>
    <row r="3" spans="2:12" ht="15" customHeight="1">
      <c r="B3" s="18" t="s">
        <v>38</v>
      </c>
      <c r="C3" s="17"/>
      <c r="D3" s="17"/>
      <c r="E3" s="58"/>
      <c r="F3" s="17">
        <f>Housing102115128141154167180193206[[#This Row],[Budgeted
cost]]-Housing102115128141154167180193206[[#This Row],[Actual
cost]]</f>
        <v>0</v>
      </c>
      <c r="G3" s="56"/>
      <c r="H3" s="18" t="s">
        <v>39</v>
      </c>
      <c r="I3" s="17"/>
      <c r="J3" s="17"/>
      <c r="K3" s="58"/>
      <c r="L3" s="17">
        <f>Savings92105118131144157170183196[[#This Row],[Budgeted
cost]]-Savings92105118131144157170183196[[#This Row],[Actual
cost]]</f>
        <v>0</v>
      </c>
    </row>
    <row r="4" spans="2:12" ht="15" customHeight="1">
      <c r="B4" s="18" t="s">
        <v>40</v>
      </c>
      <c r="C4" s="17"/>
      <c r="D4" s="17"/>
      <c r="E4" s="58"/>
      <c r="F4" s="17">
        <f>Housing102115128141154167180193206[[#This Row],[Budgeted
cost]]-Housing102115128141154167180193206[[#This Row],[Actual
cost]]</f>
        <v>0</v>
      </c>
      <c r="G4" s="56"/>
      <c r="H4" s="18" t="s">
        <v>41</v>
      </c>
      <c r="I4" s="17"/>
      <c r="J4" s="17"/>
      <c r="K4" s="58"/>
      <c r="L4" s="17">
        <f>Savings92105118131144157170183196[[#This Row],[Budgeted
cost]]-Savings92105118131144157170183196[[#This Row],[Actual
cost]]</f>
        <v>0</v>
      </c>
    </row>
    <row r="5" spans="2:12" ht="15" customHeight="1">
      <c r="B5" s="18" t="s">
        <v>42</v>
      </c>
      <c r="C5" s="17"/>
      <c r="D5" s="17"/>
      <c r="E5" s="58"/>
      <c r="F5" s="17">
        <f>Housing102115128141154167180193206[[#This Row],[Budgeted
cost]]-Housing102115128141154167180193206[[#This Row],[Actual
cost]]</f>
        <v>0</v>
      </c>
      <c r="G5" s="56"/>
      <c r="H5" s="18" t="s">
        <v>43</v>
      </c>
      <c r="I5" s="17"/>
      <c r="J5" s="17"/>
      <c r="K5" s="58"/>
      <c r="L5" s="17">
        <f>Savings92105118131144157170183196[[#This Row],[Budgeted
cost]]-Savings92105118131144157170183196[[#This Row],[Actual
cost]]</f>
        <v>0</v>
      </c>
    </row>
    <row r="6" spans="2:12" ht="15" customHeight="1">
      <c r="B6" s="18" t="s">
        <v>44</v>
      </c>
      <c r="C6" s="17"/>
      <c r="D6" s="17"/>
      <c r="E6" s="58"/>
      <c r="F6" s="17">
        <f>Housing102115128141154167180193206[[#This Row],[Budgeted
cost]]-Housing102115128141154167180193206[[#This Row],[Actual
cost]]</f>
        <v>0</v>
      </c>
      <c r="G6" s="56"/>
      <c r="H6" s="18" t="s">
        <v>45</v>
      </c>
      <c r="I6" s="17"/>
      <c r="J6" s="17"/>
      <c r="K6" s="58"/>
      <c r="L6" s="17">
        <f>Savings92105118131144157170183196[[#This Row],[Budgeted
cost]]-Savings92105118131144157170183196[[#This Row],[Actual
cost]]</f>
        <v>0</v>
      </c>
    </row>
    <row r="7" spans="2:12" ht="15" customHeight="1">
      <c r="B7" s="18" t="s">
        <v>46</v>
      </c>
      <c r="C7" s="17"/>
      <c r="D7" s="17"/>
      <c r="E7" s="58"/>
      <c r="F7" s="17">
        <f>Housing102115128141154167180193206[[#This Row],[Budgeted
cost]]-Housing102115128141154167180193206[[#This Row],[Actual
cost]]</f>
        <v>0</v>
      </c>
      <c r="G7" s="56"/>
      <c r="H7" s="18" t="s">
        <v>47</v>
      </c>
      <c r="I7" s="17"/>
      <c r="J7" s="17"/>
      <c r="K7" s="58"/>
      <c r="L7" s="17">
        <f>Savings92105118131144157170183196[[#This Row],[Budgeted
cost]]-Savings92105118131144157170183196[[#This Row],[Actual
cost]]</f>
        <v>0</v>
      </c>
    </row>
    <row r="8" spans="2:12" ht="15" customHeight="1">
      <c r="B8" s="18" t="s">
        <v>48</v>
      </c>
      <c r="C8" s="17"/>
      <c r="D8" s="17"/>
      <c r="E8" s="58"/>
      <c r="F8" s="17">
        <f>Housing102115128141154167180193206[[#This Row],[Budgeted
cost]]-Housing102115128141154167180193206[[#This Row],[Actual
cost]]</f>
        <v>0</v>
      </c>
      <c r="G8" s="56"/>
      <c r="H8" s="18" t="s">
        <v>49</v>
      </c>
      <c r="I8" s="17"/>
      <c r="J8" s="17"/>
      <c r="K8" s="58"/>
      <c r="L8" s="17">
        <f>Savings92105118131144157170183196[[#This Row],[Budgeted
cost]]-Savings92105118131144157170183196[[#This Row],[Actual
cost]]</f>
        <v>0</v>
      </c>
    </row>
    <row r="9" spans="2:12" ht="15" customHeight="1">
      <c r="B9" s="18" t="s">
        <v>50</v>
      </c>
      <c r="C9" s="17"/>
      <c r="D9" s="17"/>
      <c r="E9" s="58"/>
      <c r="F9" s="17">
        <f>Housing102115128141154167180193206[[#This Row],[Budgeted
cost]]-Housing102115128141154167180193206[[#This Row],[Actual
cost]]</f>
        <v>0</v>
      </c>
      <c r="G9" s="56"/>
      <c r="H9" s="18" t="s">
        <v>49</v>
      </c>
      <c r="I9" s="17"/>
      <c r="J9" s="17"/>
      <c r="K9" s="58"/>
      <c r="L9" s="17">
        <f>Savings92105118131144157170183196[[#This Row],[Budgeted
cost]]-Savings92105118131144157170183196[[#This Row],[Actual
cost]]</f>
        <v>0</v>
      </c>
    </row>
    <row r="10" spans="2:12" ht="15" customHeight="1">
      <c r="B10" s="18" t="s">
        <v>51</v>
      </c>
      <c r="C10" s="17"/>
      <c r="D10" s="17"/>
      <c r="E10" s="58"/>
      <c r="F10" s="17">
        <f>Housing102115128141154167180193206[[#This Row],[Budgeted
cost]]-Housing102115128141154167180193206[[#This Row],[Actual
cost]]</f>
        <v>0</v>
      </c>
      <c r="G10" s="56"/>
      <c r="H10" s="18" t="s">
        <v>31</v>
      </c>
      <c r="I10" s="19">
        <f>SUBTOTAL(109,Savings92105118131144157170183196[Budgeted
cost])</f>
        <v>0</v>
      </c>
      <c r="J10" s="19">
        <f>SUBTOTAL(109,Savings92105118131144157170183196[Actual
cost])</f>
        <v>0</v>
      </c>
      <c r="K10" s="61"/>
      <c r="L10" s="19">
        <f>SUBTOTAL(109,Savings92105118131144157170183196[Difference])</f>
        <v>0</v>
      </c>
    </row>
    <row r="11" spans="2:12" ht="15" customHeight="1">
      <c r="B11" s="18" t="s">
        <v>52</v>
      </c>
      <c r="C11" s="17"/>
      <c r="D11" s="17"/>
      <c r="E11" s="58"/>
      <c r="F11" s="17">
        <f>Housing102115128141154167180193206[[#This Row],[Budgeted
cost]]-Housing102115128141154167180193206[[#This Row],[Actual
cost]]</f>
        <v>0</v>
      </c>
      <c r="G11" s="56"/>
      <c r="H11" s="56"/>
      <c r="I11" s="56"/>
      <c r="J11" s="56"/>
    </row>
    <row r="12" spans="2:12" ht="15" customHeight="1">
      <c r="B12" s="18" t="s">
        <v>49</v>
      </c>
      <c r="C12" s="17"/>
      <c r="D12" s="17"/>
      <c r="E12" s="58"/>
      <c r="F12" s="17">
        <f>Housing102115128141154167180193206[[#This Row],[Budgeted
cost]]-Housing102115128141154167180193206[[#This Row],[Actual
cost]]</f>
        <v>0</v>
      </c>
      <c r="G12" s="56"/>
    </row>
    <row r="13" spans="2:12" ht="15" customHeight="1">
      <c r="B13" s="18" t="s">
        <v>31</v>
      </c>
      <c r="C13" s="19">
        <f>SUBTOTAL(109,Housing102115128141154167180193206[Budgeted
cost])</f>
        <v>0</v>
      </c>
      <c r="D13" s="19">
        <f>SUBTOTAL(109,Housing102115128141154167180193206[Actual
cost])</f>
        <v>0</v>
      </c>
      <c r="E13"/>
      <c r="F13" s="19">
        <f>SUBTOTAL(109,Housing102115128141154167180193206[Difference])</f>
        <v>0</v>
      </c>
      <c r="G13" s="56"/>
    </row>
    <row r="14" spans="2:12" ht="15" customHeight="1">
      <c r="B14" s="56"/>
      <c r="C14" s="56"/>
      <c r="D14" s="56"/>
      <c r="E14" s="74"/>
      <c r="F14" s="75"/>
      <c r="G14" s="56"/>
    </row>
    <row r="15" spans="2:12" ht="27.6">
      <c r="B15" s="22" t="s">
        <v>15</v>
      </c>
      <c r="C15" s="21" t="s">
        <v>9</v>
      </c>
      <c r="D15" s="21" t="s">
        <v>10</v>
      </c>
      <c r="E15" s="60" t="s">
        <v>37</v>
      </c>
      <c r="F15" s="21" t="s">
        <v>11</v>
      </c>
      <c r="G15" s="13"/>
      <c r="H15" s="22" t="s">
        <v>23</v>
      </c>
      <c r="I15" s="21" t="s">
        <v>9</v>
      </c>
      <c r="J15" s="23" t="s">
        <v>10</v>
      </c>
      <c r="K15" s="63" t="s">
        <v>37</v>
      </c>
      <c r="L15" s="21" t="s">
        <v>11</v>
      </c>
    </row>
    <row r="16" spans="2:12">
      <c r="B16" s="18" t="s">
        <v>53</v>
      </c>
      <c r="C16" s="17"/>
      <c r="D16" s="17"/>
      <c r="E16" s="58"/>
      <c r="F16" s="17">
        <f>Transportation101114127140153166179192205[[#This Row],[Budgeted
cost]]-Transportation101114127140153166179192205[[#This Row],[Actual
cost]]</f>
        <v>0</v>
      </c>
      <c r="G16" s="13"/>
      <c r="H16" s="18" t="s">
        <v>54</v>
      </c>
      <c r="I16" s="17"/>
      <c r="J16" s="17"/>
      <c r="K16" s="58"/>
      <c r="L16" s="17">
        <f>PersonalCare96109122135148161174187200[[#This Row],[Budgeted
cost]]-PersonalCare96109122135148161174187200[[#This Row],[Actual
cost]]</f>
        <v>0</v>
      </c>
    </row>
    <row r="17" spans="2:12">
      <c r="B17" s="18" t="s">
        <v>55</v>
      </c>
      <c r="C17" s="17"/>
      <c r="D17" s="17"/>
      <c r="E17" s="58"/>
      <c r="F17" s="17">
        <f>Transportation101114127140153166179192205[[#This Row],[Budgeted
cost]]-Transportation101114127140153166179192205[[#This Row],[Actual
cost]]</f>
        <v>0</v>
      </c>
      <c r="G17" s="13"/>
      <c r="H17" s="18" t="s">
        <v>56</v>
      </c>
      <c r="I17" s="17"/>
      <c r="J17" s="17"/>
      <c r="K17" s="58"/>
      <c r="L17" s="17">
        <f>PersonalCare96109122135148161174187200[[#This Row],[Budgeted
cost]]-PersonalCare96109122135148161174187200[[#This Row],[Actual
cost]]</f>
        <v>0</v>
      </c>
    </row>
    <row r="18" spans="2:12">
      <c r="B18" s="18" t="s">
        <v>57</v>
      </c>
      <c r="C18" s="17"/>
      <c r="D18" s="17"/>
      <c r="E18" s="58"/>
      <c r="F18" s="17">
        <f>Transportation101114127140153166179192205[[#This Row],[Budgeted
cost]]-Transportation101114127140153166179192205[[#This Row],[Actual
cost]]</f>
        <v>0</v>
      </c>
      <c r="G18" s="13"/>
      <c r="H18" s="18" t="s">
        <v>58</v>
      </c>
      <c r="I18" s="17"/>
      <c r="J18" s="17"/>
      <c r="K18" s="58"/>
      <c r="L18" s="17">
        <f>PersonalCare96109122135148161174187200[[#This Row],[Budgeted
cost]]-PersonalCare96109122135148161174187200[[#This Row],[Actual
cost]]</f>
        <v>0</v>
      </c>
    </row>
    <row r="19" spans="2:12">
      <c r="B19" s="18" t="s">
        <v>18</v>
      </c>
      <c r="C19" s="17"/>
      <c r="D19" s="17"/>
      <c r="E19" s="58"/>
      <c r="F19" s="17">
        <f>Transportation101114127140153166179192205[[#This Row],[Budgeted
cost]]-Transportation101114127140153166179192205[[#This Row],[Actual
cost]]</f>
        <v>0</v>
      </c>
      <c r="G19" s="13"/>
      <c r="H19" s="18" t="s">
        <v>59</v>
      </c>
      <c r="I19" s="17"/>
      <c r="J19" s="17"/>
      <c r="K19" s="58"/>
      <c r="L19" s="17">
        <f>PersonalCare96109122135148161174187200[[#This Row],[Budgeted
cost]]-PersonalCare96109122135148161174187200[[#This Row],[Actual
cost]]</f>
        <v>0</v>
      </c>
    </row>
    <row r="20" spans="2:12">
      <c r="B20" s="18" t="s">
        <v>60</v>
      </c>
      <c r="C20" s="17"/>
      <c r="D20" s="17"/>
      <c r="E20" s="58"/>
      <c r="F20" s="17">
        <f>Transportation101114127140153166179192205[[#This Row],[Budgeted
cost]]-Transportation101114127140153166179192205[[#This Row],[Actual
cost]]</f>
        <v>0</v>
      </c>
      <c r="G20" s="13"/>
      <c r="H20" s="18" t="s">
        <v>61</v>
      </c>
      <c r="I20" s="17"/>
      <c r="J20" s="17"/>
      <c r="K20" s="58"/>
      <c r="L20" s="17">
        <f>PersonalCare96109122135148161174187200[[#This Row],[Budgeted
cost]]-PersonalCare96109122135148161174187200[[#This Row],[Actual
cost]]</f>
        <v>0</v>
      </c>
    </row>
    <row r="21" spans="2:12">
      <c r="B21" s="18" t="s">
        <v>62</v>
      </c>
      <c r="C21" s="17"/>
      <c r="D21" s="17"/>
      <c r="E21" s="58"/>
      <c r="F21" s="17">
        <f>Transportation101114127140153166179192205[[#This Row],[Budgeted
cost]]-Transportation101114127140153166179192205[[#This Row],[Actual
cost]]</f>
        <v>0</v>
      </c>
      <c r="G21" s="13"/>
      <c r="H21" s="18" t="s">
        <v>63</v>
      </c>
      <c r="I21" s="17"/>
      <c r="J21" s="17"/>
      <c r="K21" s="58"/>
      <c r="L21" s="17">
        <f>PersonalCare96109122135148161174187200[[#This Row],[Budgeted
cost]]-PersonalCare96109122135148161174187200[[#This Row],[Actual
cost]]</f>
        <v>0</v>
      </c>
    </row>
    <row r="22" spans="2:12">
      <c r="B22" s="18" t="s">
        <v>64</v>
      </c>
      <c r="C22" s="17"/>
      <c r="D22" s="17"/>
      <c r="E22" s="58"/>
      <c r="F22" s="17">
        <f>Transportation101114127140153166179192205[[#This Row],[Budgeted
cost]]-Transportation101114127140153166179192205[[#This Row],[Actual
cost]]</f>
        <v>0</v>
      </c>
      <c r="G22" s="13"/>
      <c r="H22" s="18" t="s">
        <v>49</v>
      </c>
      <c r="I22" s="17"/>
      <c r="J22" s="17"/>
      <c r="K22" s="58"/>
      <c r="L22" s="17">
        <f>PersonalCare96109122135148161174187200[[#This Row],[Budgeted
cost]]-PersonalCare96109122135148161174187200[[#This Row],[Actual
cost]]</f>
        <v>0</v>
      </c>
    </row>
    <row r="23" spans="2:12">
      <c r="B23" s="18" t="s">
        <v>49</v>
      </c>
      <c r="C23" s="17"/>
      <c r="D23" s="17"/>
      <c r="E23" s="58"/>
      <c r="F23" s="17">
        <f>Transportation101114127140153166179192205[[#This Row],[Budgeted
cost]]-Transportation101114127140153166179192205[[#This Row],[Actual
cost]]</f>
        <v>0</v>
      </c>
      <c r="G23" s="13"/>
      <c r="H23" s="18" t="s">
        <v>49</v>
      </c>
      <c r="I23" s="17"/>
      <c r="J23" s="17"/>
      <c r="K23" s="58"/>
      <c r="L23" s="17">
        <f>PersonalCare96109122135148161174187200[[#This Row],[Budgeted
cost]]-PersonalCare96109122135148161174187200[[#This Row],[Actual
cost]]</f>
        <v>0</v>
      </c>
    </row>
    <row r="24" spans="2:12">
      <c r="B24" s="18" t="s">
        <v>49</v>
      </c>
      <c r="C24" s="17"/>
      <c r="D24" s="17"/>
      <c r="E24" s="58"/>
      <c r="F24" s="17">
        <f>Transportation101114127140153166179192205[[#This Row],[Budgeted
cost]]-Transportation101114127140153166179192205[[#This Row],[Actual
cost]]</f>
        <v>0</v>
      </c>
      <c r="G24" s="13"/>
      <c r="H24" s="18" t="s">
        <v>31</v>
      </c>
      <c r="I24" s="19">
        <f>SUBTOTAL(109,PersonalCare96109122135148161174187200[Budgeted
cost])</f>
        <v>0</v>
      </c>
      <c r="J24" s="19">
        <f>SUBTOTAL(109,PersonalCare96109122135148161174187200[Actual
cost])</f>
        <v>0</v>
      </c>
      <c r="K24" s="61"/>
      <c r="L24" s="19">
        <f>SUBTOTAL(109,PersonalCare96109122135148161174187200[Difference])</f>
        <v>0</v>
      </c>
    </row>
    <row r="25" spans="2:12">
      <c r="B25" s="18" t="s">
        <v>31</v>
      </c>
      <c r="C25" s="19">
        <f>SUBTOTAL(109,Transportation101114127140153166179192205[Budgeted
cost])</f>
        <v>0</v>
      </c>
      <c r="D25" s="19">
        <f>SUBTOTAL(109,Transportation101114127140153166179192205[Actual
cost])</f>
        <v>0</v>
      </c>
      <c r="E25" s="61"/>
      <c r="F25" s="19">
        <f>SUBTOTAL(109,Transportation101114127140153166179192205[Difference])</f>
        <v>0</v>
      </c>
      <c r="G25" s="13"/>
    </row>
    <row r="26" spans="2:12" ht="17.45">
      <c r="B26" s="7"/>
      <c r="C26" s="6"/>
      <c r="D26" s="6"/>
      <c r="E26" s="62"/>
      <c r="F26" s="13"/>
    </row>
    <row r="27" spans="2:12" ht="27.6">
      <c r="B27" s="22" t="s">
        <v>18</v>
      </c>
      <c r="C27" s="21" t="s">
        <v>9</v>
      </c>
      <c r="D27" s="21" t="s">
        <v>10</v>
      </c>
      <c r="E27" s="63" t="s">
        <v>37</v>
      </c>
      <c r="F27" s="21" t="s">
        <v>11</v>
      </c>
      <c r="G27" s="13"/>
      <c r="H27" s="22" t="s">
        <v>27</v>
      </c>
      <c r="I27" s="21" t="s">
        <v>9</v>
      </c>
      <c r="J27" s="23" t="s">
        <v>10</v>
      </c>
      <c r="K27" s="63" t="s">
        <v>37</v>
      </c>
      <c r="L27" s="21" t="s">
        <v>11</v>
      </c>
    </row>
    <row r="28" spans="2:12">
      <c r="B28" s="18" t="s">
        <v>65</v>
      </c>
      <c r="C28" s="17"/>
      <c r="D28" s="17"/>
      <c r="E28" s="58"/>
      <c r="F28" s="17">
        <f>Insurance100113126139152165178191204[[#This Row],[Budgeted
cost]]-Insurance100113126139152165178191204[[#This Row],[Actual
cost]]</f>
        <v>0</v>
      </c>
      <c r="G28" s="13"/>
      <c r="H28" s="18" t="s">
        <v>20</v>
      </c>
      <c r="I28" s="17"/>
      <c r="J28" s="17"/>
      <c r="K28" s="58"/>
      <c r="L28" s="17">
        <f>Pets97110123136149162175188201[[#This Row],[Budgeted
cost]]-Pets97110123136149162175188201[[#This Row],[Actual
cost]]</f>
        <v>0</v>
      </c>
    </row>
    <row r="29" spans="2:12">
      <c r="B29" s="18" t="s">
        <v>66</v>
      </c>
      <c r="C29" s="17"/>
      <c r="D29" s="17"/>
      <c r="E29" s="58"/>
      <c r="F29" s="17">
        <f>Insurance100113126139152165178191204[[#This Row],[Budgeted
cost]]-Insurance100113126139152165178191204[[#This Row],[Actual
cost]]</f>
        <v>0</v>
      </c>
      <c r="G29" s="13"/>
      <c r="H29" s="18" t="s">
        <v>54</v>
      </c>
      <c r="I29" s="17"/>
      <c r="J29" s="17"/>
      <c r="K29" s="58"/>
      <c r="L29" s="17">
        <f>Pets97110123136149162175188201[[#This Row],[Budgeted
cost]]-Pets97110123136149162175188201[[#This Row],[Actual
cost]]</f>
        <v>0</v>
      </c>
    </row>
    <row r="30" spans="2:12">
      <c r="B30" s="18" t="s">
        <v>67</v>
      </c>
      <c r="C30" s="17"/>
      <c r="D30" s="17"/>
      <c r="E30" s="58"/>
      <c r="F30" s="17">
        <f>Insurance100113126139152165178191204[[#This Row],[Budgeted
cost]]-Insurance100113126139152165178191204[[#This Row],[Actual
cost]]</f>
        <v>0</v>
      </c>
      <c r="G30" s="13"/>
      <c r="H30" s="18" t="s">
        <v>68</v>
      </c>
      <c r="I30" s="17"/>
      <c r="J30" s="17"/>
      <c r="K30" s="58"/>
      <c r="L30" s="17">
        <f>Pets97110123136149162175188201[[#This Row],[Budgeted
cost]]-Pets97110123136149162175188201[[#This Row],[Actual
cost]]</f>
        <v>0</v>
      </c>
    </row>
    <row r="31" spans="2:12">
      <c r="B31" s="18" t="s">
        <v>49</v>
      </c>
      <c r="C31" s="17"/>
      <c r="D31" s="17"/>
      <c r="E31" s="58"/>
      <c r="F31" s="17">
        <f>Insurance100113126139152165178191204[[#This Row],[Budgeted
cost]]-Insurance100113126139152165178191204[[#This Row],[Actual
cost]]</f>
        <v>0</v>
      </c>
      <c r="G31" s="13"/>
      <c r="H31" s="18" t="s">
        <v>69</v>
      </c>
      <c r="I31" s="17"/>
      <c r="J31" s="17"/>
      <c r="K31" s="58"/>
      <c r="L31" s="17">
        <f>Pets97110123136149162175188201[[#This Row],[Budgeted
cost]]-Pets97110123136149162175188201[[#This Row],[Actual
cost]]</f>
        <v>0</v>
      </c>
    </row>
    <row r="32" spans="2:12">
      <c r="B32" s="18" t="s">
        <v>49</v>
      </c>
      <c r="C32" s="17"/>
      <c r="D32" s="17"/>
      <c r="E32" s="58"/>
      <c r="F32" s="17">
        <f>Insurance100113126139152165178191204[[#This Row],[Budgeted
cost]]-Insurance100113126139152165178191204[[#This Row],[Actual
cost]]</f>
        <v>0</v>
      </c>
      <c r="G32" s="13"/>
      <c r="H32" s="18" t="s">
        <v>49</v>
      </c>
      <c r="I32" s="17"/>
      <c r="J32" s="17"/>
      <c r="K32" s="58"/>
      <c r="L32" s="17">
        <f>Pets97110123136149162175188201[[#This Row],[Budgeted
cost]]-Pets97110123136149162175188201[[#This Row],[Actual
cost]]</f>
        <v>0</v>
      </c>
    </row>
    <row r="33" spans="2:12">
      <c r="B33" s="18" t="s">
        <v>31</v>
      </c>
      <c r="C33" s="19">
        <f>SUBTOTAL(109,Insurance100113126139152165178191204[Budgeted
cost])</f>
        <v>0</v>
      </c>
      <c r="D33" s="19">
        <f>SUBTOTAL(109,Insurance100113126139152165178191204[Actual
cost])</f>
        <v>0</v>
      </c>
      <c r="E33" s="61"/>
      <c r="F33" s="19">
        <f>SUBTOTAL(109,Insurance100113126139152165178191204[Difference])</f>
        <v>0</v>
      </c>
      <c r="G33" s="13"/>
      <c r="H33" s="18" t="s">
        <v>31</v>
      </c>
      <c r="I33" s="19">
        <f>SUBTOTAL(109,Pets97110123136149162175188201[Budgeted
cost])</f>
        <v>0</v>
      </c>
      <c r="J33" s="19">
        <f>SUBTOTAL(109,Pets97110123136149162175188201[Actual
cost])</f>
        <v>0</v>
      </c>
      <c r="K33" s="64"/>
      <c r="L33" s="19">
        <f>SUBTOTAL(109,Pets97110123136149162175188201[Difference])</f>
        <v>0</v>
      </c>
    </row>
    <row r="34" spans="2:12" ht="17.45">
      <c r="B34" s="7"/>
      <c r="C34" s="6"/>
      <c r="D34" s="6"/>
      <c r="E34" s="62"/>
      <c r="F34" s="13"/>
    </row>
    <row r="35" spans="2:12" ht="27.6">
      <c r="B35" s="22" t="s">
        <v>20</v>
      </c>
      <c r="C35" s="57" t="s">
        <v>9</v>
      </c>
      <c r="D35" s="21" t="s">
        <v>10</v>
      </c>
      <c r="E35" s="63" t="s">
        <v>37</v>
      </c>
      <c r="F35" s="21" t="s">
        <v>11</v>
      </c>
      <c r="H35" s="22" t="s">
        <v>21</v>
      </c>
      <c r="I35" s="21" t="s">
        <v>70</v>
      </c>
      <c r="J35" s="23" t="s">
        <v>71</v>
      </c>
      <c r="K35" s="63" t="s">
        <v>37</v>
      </c>
      <c r="L35" s="21" t="s">
        <v>11</v>
      </c>
    </row>
    <row r="36" spans="2:12">
      <c r="B36" s="18" t="s">
        <v>72</v>
      </c>
      <c r="C36" s="17"/>
      <c r="D36" s="17"/>
      <c r="E36" s="58"/>
      <c r="F36" s="17">
        <f>Food99112125138151164177190203[[#This Row],[Budgeted
cost]]-Food99112125138151164177190203[[#This Row],[Actual
cost]]</f>
        <v>0</v>
      </c>
      <c r="H36" s="18" t="s">
        <v>73</v>
      </c>
      <c r="I36" s="17"/>
      <c r="J36" s="17"/>
      <c r="K36" s="58"/>
      <c r="L36" s="17">
        <f>Taxes93106119132145158171184197[[#This Row],[Budgeted 
cost]]-Taxes93106119132145158171184197[[#This Row],[Actual 
cost]]</f>
        <v>0</v>
      </c>
    </row>
    <row r="37" spans="2:12">
      <c r="B37" s="18" t="s">
        <v>74</v>
      </c>
      <c r="C37" s="17"/>
      <c r="D37" s="17"/>
      <c r="E37" s="58"/>
      <c r="F37" s="17">
        <f>Food99112125138151164177190203[[#This Row],[Budgeted
cost]]-Food99112125138151164177190203[[#This Row],[Actual
cost]]</f>
        <v>0</v>
      </c>
      <c r="G37" s="13"/>
      <c r="H37" s="18" t="s">
        <v>75</v>
      </c>
      <c r="I37" s="17"/>
      <c r="J37" s="17"/>
      <c r="K37" s="58"/>
      <c r="L37" s="17">
        <f>Taxes93106119132145158171184197[[#This Row],[Budgeted 
cost]]-Taxes93106119132145158171184197[[#This Row],[Actual 
cost]]</f>
        <v>0</v>
      </c>
    </row>
    <row r="38" spans="2:12">
      <c r="B38" s="18" t="s">
        <v>76</v>
      </c>
      <c r="C38" s="17"/>
      <c r="D38" s="17"/>
      <c r="E38" s="58"/>
      <c r="F38" s="17">
        <f>Food99112125138151164177190203[[#This Row],[Budgeted
cost]]-Food99112125138151164177190203[[#This Row],[Actual
cost]]</f>
        <v>0</v>
      </c>
      <c r="G38" s="13"/>
      <c r="H38" s="18" t="s">
        <v>49</v>
      </c>
      <c r="I38" s="17"/>
      <c r="J38" s="17"/>
      <c r="K38" s="58"/>
      <c r="L38" s="17">
        <f>Taxes93106119132145158171184197[[#This Row],[Budgeted 
cost]]-Taxes93106119132145158171184197[[#This Row],[Actual 
cost]]</f>
        <v>0</v>
      </c>
    </row>
    <row r="39" spans="2:12">
      <c r="B39" s="18" t="s">
        <v>49</v>
      </c>
      <c r="C39" s="17"/>
      <c r="D39" s="17"/>
      <c r="E39" s="58"/>
      <c r="F39" s="17">
        <f>Food99112125138151164177190203[[#This Row],[Budgeted
cost]]-Food99112125138151164177190203[[#This Row],[Actual
cost]]</f>
        <v>0</v>
      </c>
      <c r="G39" s="13"/>
      <c r="H39" s="18" t="s">
        <v>49</v>
      </c>
      <c r="I39" s="17"/>
      <c r="J39" s="17"/>
      <c r="K39" s="58"/>
      <c r="L39" s="17">
        <f>Taxes93106119132145158171184197[[#This Row],[Budgeted 
cost]]-Taxes93106119132145158171184197[[#This Row],[Actual 
cost]]</f>
        <v>0</v>
      </c>
    </row>
    <row r="40" spans="2:12">
      <c r="B40" s="18" t="s">
        <v>49</v>
      </c>
      <c r="C40" s="17"/>
      <c r="D40" s="17"/>
      <c r="E40" s="58"/>
      <c r="F40" s="17">
        <f>Food99112125138151164177190203[[#This Row],[Budgeted
cost]]-Food99112125138151164177190203[[#This Row],[Actual
cost]]</f>
        <v>0</v>
      </c>
      <c r="G40" s="13"/>
      <c r="H40" s="18" t="s">
        <v>31</v>
      </c>
      <c r="I40" s="19">
        <f>SUBTOTAL(109,Taxes93106119132145158171184197[Budgeted 
cost])</f>
        <v>0</v>
      </c>
      <c r="J40" s="19">
        <f>SUBTOTAL(109,Taxes93106119132145158171184197[Actual 
cost])</f>
        <v>0</v>
      </c>
      <c r="K40" s="61"/>
      <c r="L40" s="19">
        <f>SUBTOTAL(109,Taxes93106119132145158171184197[Difference])</f>
        <v>0</v>
      </c>
    </row>
    <row r="41" spans="2:12" ht="15">
      <c r="B41" s="18" t="s">
        <v>31</v>
      </c>
      <c r="C41" s="19">
        <f>SUBTOTAL(109,Food99112125138151164177190203[Budgeted
cost])</f>
        <v>0</v>
      </c>
      <c r="D41" s="19">
        <f>SUBTOTAL(109,Food99112125138151164177190203[Actual
cost])</f>
        <v>0</v>
      </c>
      <c r="E41" s="61"/>
      <c r="F41" s="19">
        <f>SUBTOTAL(109,Food99112125138151164177190203[Difference])</f>
        <v>0</v>
      </c>
      <c r="G41" s="13"/>
      <c r="H41" s="3"/>
      <c r="I41" s="4"/>
      <c r="J41" s="4"/>
      <c r="K41" s="65"/>
    </row>
    <row r="42" spans="2:12" ht="24.6">
      <c r="B42" s="5"/>
      <c r="C42" s="6"/>
      <c r="D42" s="6"/>
      <c r="E42" s="62"/>
      <c r="F42" s="13"/>
      <c r="G42" s="13"/>
      <c r="I42" s="20"/>
      <c r="J42" s="20"/>
      <c r="K42" s="59"/>
    </row>
    <row r="43" spans="2:12" ht="27.6">
      <c r="B43" s="22" t="s">
        <v>22</v>
      </c>
      <c r="C43" s="21" t="s">
        <v>9</v>
      </c>
      <c r="D43" s="21" t="s">
        <v>10</v>
      </c>
      <c r="E43" s="63" t="s">
        <v>37</v>
      </c>
      <c r="F43" s="21" t="s">
        <v>11</v>
      </c>
      <c r="G43" s="13"/>
      <c r="H43" s="22" t="s">
        <v>16</v>
      </c>
      <c r="I43" s="21" t="s">
        <v>9</v>
      </c>
      <c r="J43" s="23" t="s">
        <v>10</v>
      </c>
      <c r="K43" s="63" t="s">
        <v>37</v>
      </c>
      <c r="L43" s="21" t="s">
        <v>11</v>
      </c>
    </row>
    <row r="44" spans="2:12">
      <c r="B44" s="18" t="s">
        <v>54</v>
      </c>
      <c r="C44" s="17"/>
      <c r="D44" s="17"/>
      <c r="E44" s="58"/>
      <c r="F44" s="17">
        <f>Children98111124137150163176189202[[#This Row],[Budgeted
cost]]-Children98111124137150163176189202[[#This Row],[Actual
cost]]</f>
        <v>0</v>
      </c>
      <c r="H44" s="18" t="s">
        <v>77</v>
      </c>
      <c r="I44" s="17"/>
      <c r="J44" s="17"/>
      <c r="K44" s="58"/>
      <c r="L44" s="17">
        <f>Loans94107120133146159172185198[[#This Row],[Budgeted
cost]]-Loans94107120133146159172185198[[#This Row],[Actual
cost]]</f>
        <v>0</v>
      </c>
    </row>
    <row r="45" spans="2:12">
      <c r="B45" s="18" t="s">
        <v>58</v>
      </c>
      <c r="C45" s="17"/>
      <c r="D45" s="17"/>
      <c r="E45" s="58"/>
      <c r="F45" s="17">
        <f>Children98111124137150163176189202[[#This Row],[Budgeted
cost]]-Children98111124137150163176189202[[#This Row],[Actual
cost]]</f>
        <v>0</v>
      </c>
      <c r="G45" s="13"/>
      <c r="H45" s="18" t="s">
        <v>78</v>
      </c>
      <c r="I45" s="17"/>
      <c r="J45" s="17"/>
      <c r="K45" s="58"/>
      <c r="L45" s="17">
        <f>Loans94107120133146159172185198[[#This Row],[Budgeted
cost]]-Loans94107120133146159172185198[[#This Row],[Actual
cost]]</f>
        <v>0</v>
      </c>
    </row>
    <row r="46" spans="2:12">
      <c r="B46" s="18" t="s">
        <v>79</v>
      </c>
      <c r="C46" s="17"/>
      <c r="D46" s="17"/>
      <c r="E46" s="58"/>
      <c r="F46" s="17">
        <f>Children98111124137150163176189202[[#This Row],[Budgeted
cost]]-Children98111124137150163176189202[[#This Row],[Actual
cost]]</f>
        <v>0</v>
      </c>
      <c r="G46" s="13"/>
      <c r="H46" s="18" t="s">
        <v>80</v>
      </c>
      <c r="I46" s="17"/>
      <c r="J46" s="17"/>
      <c r="K46" s="58"/>
      <c r="L46" s="17">
        <f>Loans94107120133146159172185198[[#This Row],[Budgeted
cost]]-Loans94107120133146159172185198[[#This Row],[Actual
cost]]</f>
        <v>0</v>
      </c>
    </row>
    <row r="47" spans="2:12">
      <c r="B47" s="18" t="s">
        <v>81</v>
      </c>
      <c r="C47" s="17"/>
      <c r="D47" s="17"/>
      <c r="E47" s="58"/>
      <c r="F47" s="17">
        <f>Children98111124137150163176189202[[#This Row],[Budgeted
cost]]-Children98111124137150163176189202[[#This Row],[Actual
cost]]</f>
        <v>0</v>
      </c>
      <c r="G47" s="13"/>
      <c r="H47" s="18" t="s">
        <v>80</v>
      </c>
      <c r="I47" s="17"/>
      <c r="J47" s="17"/>
      <c r="K47" s="58"/>
      <c r="L47" s="17">
        <f>Loans94107120133146159172185198[[#This Row],[Budgeted
cost]]-Loans94107120133146159172185198[[#This Row],[Actual
cost]]</f>
        <v>0</v>
      </c>
    </row>
    <row r="48" spans="2:12">
      <c r="B48" s="18" t="s">
        <v>63</v>
      </c>
      <c r="C48" s="17"/>
      <c r="D48" s="17"/>
      <c r="E48" s="58"/>
      <c r="F48" s="17">
        <f>Children98111124137150163176189202[[#This Row],[Budgeted
cost]]-Children98111124137150163176189202[[#This Row],[Actual
cost]]</f>
        <v>0</v>
      </c>
      <c r="G48" s="13"/>
      <c r="H48" s="18" t="s">
        <v>80</v>
      </c>
      <c r="I48" s="17"/>
      <c r="J48" s="17"/>
      <c r="K48" s="58"/>
      <c r="L48" s="17">
        <f>Loans94107120133146159172185198[[#This Row],[Budgeted
cost]]-Loans94107120133146159172185198[[#This Row],[Actual
cost]]</f>
        <v>0</v>
      </c>
    </row>
    <row r="49" spans="2:12">
      <c r="B49" s="18" t="s">
        <v>82</v>
      </c>
      <c r="C49" s="17"/>
      <c r="D49" s="17"/>
      <c r="E49" s="58"/>
      <c r="F49" s="17">
        <f>Children98111124137150163176189202[[#This Row],[Budgeted
cost]]-Children98111124137150163176189202[[#This Row],[Actual
cost]]</f>
        <v>0</v>
      </c>
      <c r="G49" s="13"/>
      <c r="H49" s="18" t="s">
        <v>49</v>
      </c>
      <c r="I49" s="17"/>
      <c r="J49" s="17"/>
      <c r="K49" s="58"/>
      <c r="L49" s="17">
        <f>Loans94107120133146159172185198[[#This Row],[Budgeted
cost]]-Loans94107120133146159172185198[[#This Row],[Actual
cost]]</f>
        <v>0</v>
      </c>
    </row>
    <row r="50" spans="2:12">
      <c r="B50" s="18" t="s">
        <v>83</v>
      </c>
      <c r="C50" s="17"/>
      <c r="D50" s="17"/>
      <c r="E50" s="58"/>
      <c r="F50" s="17">
        <f>Children98111124137150163176189202[[#This Row],[Budgeted
cost]]-Children98111124137150163176189202[[#This Row],[Actual
cost]]</f>
        <v>0</v>
      </c>
      <c r="G50" s="13"/>
      <c r="H50" s="18" t="s">
        <v>49</v>
      </c>
      <c r="I50" s="17"/>
      <c r="J50" s="17"/>
      <c r="K50" s="58"/>
      <c r="L50" s="17">
        <f>Loans94107120133146159172185198[[#This Row],[Budgeted
cost]]-Loans94107120133146159172185198[[#This Row],[Actual
cost]]</f>
        <v>0</v>
      </c>
    </row>
    <row r="51" spans="2:12">
      <c r="B51" s="18" t="s">
        <v>84</v>
      </c>
      <c r="C51" s="17"/>
      <c r="D51" s="17"/>
      <c r="E51" s="58"/>
      <c r="F51" s="17">
        <f>Children98111124137150163176189202[[#This Row],[Budgeted
cost]]-Children98111124137150163176189202[[#This Row],[Actual
cost]]</f>
        <v>0</v>
      </c>
      <c r="G51" s="13"/>
      <c r="H51" s="18" t="s">
        <v>31</v>
      </c>
      <c r="I51" s="19">
        <f>SUBTOTAL(109,Loans94107120133146159172185198[Budgeted
cost])</f>
        <v>0</v>
      </c>
      <c r="J51" s="19">
        <f>SUBTOTAL(109,Loans94107120133146159172185198[Actual
cost])</f>
        <v>0</v>
      </c>
      <c r="K51" s="61"/>
      <c r="L51" s="19">
        <f>SUBTOTAL(109,Loans94107120133146159172185198[Difference])</f>
        <v>0</v>
      </c>
    </row>
    <row r="52" spans="2:12">
      <c r="B52" s="18" t="s">
        <v>49</v>
      </c>
      <c r="C52" s="17"/>
      <c r="D52" s="17"/>
      <c r="E52" s="58"/>
      <c r="F52" s="17">
        <f>Children98111124137150163176189202[[#This Row],[Budgeted
cost]]-Children98111124137150163176189202[[#This Row],[Actual
cost]]</f>
        <v>0</v>
      </c>
      <c r="G52" s="13"/>
    </row>
    <row r="53" spans="2:12" ht="17.45">
      <c r="B53" s="18" t="s">
        <v>49</v>
      </c>
      <c r="C53" s="17"/>
      <c r="D53" s="17"/>
      <c r="E53" s="58"/>
      <c r="F53" s="17">
        <f>Children98111124137150163176189202[[#This Row],[Budgeted
cost]]-Children98111124137150163176189202[[#This Row],[Actual
cost]]</f>
        <v>0</v>
      </c>
      <c r="G53" s="13"/>
      <c r="H53" s="7"/>
      <c r="I53" s="6"/>
      <c r="J53" s="6"/>
      <c r="K53" s="62"/>
    </row>
    <row r="54" spans="2:12">
      <c r="B54" s="18" t="s">
        <v>31</v>
      </c>
      <c r="C54" s="19">
        <f>SUBTOTAL(109,Children98111124137150163176189202[Budgeted
cost])</f>
        <v>0</v>
      </c>
      <c r="D54" s="19">
        <f>SUBTOTAL(109,Children98111124137150163176189202[Actual
cost])</f>
        <v>0</v>
      </c>
      <c r="E54" s="61"/>
      <c r="F54" s="19">
        <f>SUBTOTAL(109,Children98111124137150163176189202[Difference])</f>
        <v>0</v>
      </c>
      <c r="G54" s="13"/>
    </row>
    <row r="55" spans="2:12" ht="15">
      <c r="B55" s="5"/>
      <c r="C55" s="6"/>
      <c r="D55" s="6"/>
      <c r="E55" s="62"/>
      <c r="F55" s="13"/>
      <c r="G55" s="13"/>
    </row>
    <row r="56" spans="2:12" ht="27.6">
      <c r="B56" s="22" t="s">
        <v>25</v>
      </c>
      <c r="C56" s="21" t="s">
        <v>9</v>
      </c>
      <c r="D56" s="21" t="s">
        <v>10</v>
      </c>
      <c r="E56" s="63" t="s">
        <v>37</v>
      </c>
      <c r="F56" s="21" t="s">
        <v>11</v>
      </c>
      <c r="G56" s="14"/>
      <c r="H56" s="22" t="s">
        <v>30</v>
      </c>
      <c r="I56" s="21" t="s">
        <v>9</v>
      </c>
      <c r="J56" s="23" t="s">
        <v>10</v>
      </c>
      <c r="K56" s="63" t="s">
        <v>37</v>
      </c>
      <c r="L56" s="21" t="s">
        <v>11</v>
      </c>
    </row>
    <row r="57" spans="2:12">
      <c r="B57" s="18" t="s">
        <v>85</v>
      </c>
      <c r="C57" s="17"/>
      <c r="D57" s="17"/>
      <c r="E57" s="58"/>
      <c r="F57" s="17">
        <f>Legal90103116129142155168181194[[#This Row],[Budgeted
cost]]-Legal90103116129142155168181194[[#This Row],[Actual
cost]]</f>
        <v>0</v>
      </c>
      <c r="H57" s="18" t="s">
        <v>86</v>
      </c>
      <c r="I57" s="17"/>
      <c r="J57" s="17"/>
      <c r="K57" s="58"/>
      <c r="L57" s="17">
        <f>Gifts91104117130143156169182195[[#This Row],[Budgeted
cost]]-Gifts91104117130143156169182195[[#This Row],[Actual
cost]]</f>
        <v>0</v>
      </c>
    </row>
    <row r="58" spans="2:12">
      <c r="B58" s="18" t="s">
        <v>87</v>
      </c>
      <c r="C58" s="17"/>
      <c r="D58" s="17"/>
      <c r="E58" s="58"/>
      <c r="F58" s="17">
        <f>Legal90103116129142155168181194[[#This Row],[Budgeted
cost]]-Legal90103116129142155168181194[[#This Row],[Actual
cost]]</f>
        <v>0</v>
      </c>
      <c r="G58" s="13"/>
      <c r="H58" s="18" t="s">
        <v>88</v>
      </c>
      <c r="I58" s="17"/>
      <c r="J58" s="17"/>
      <c r="K58" s="58"/>
      <c r="L58" s="17">
        <f>Gifts91104117130143156169182195[[#This Row],[Budgeted
cost]]-Gifts91104117130143156169182195[[#This Row],[Actual
cost]]</f>
        <v>0</v>
      </c>
    </row>
    <row r="59" spans="2:12">
      <c r="B59" s="18" t="s">
        <v>89</v>
      </c>
      <c r="C59" s="17"/>
      <c r="D59" s="17"/>
      <c r="E59" s="58"/>
      <c r="F59" s="17">
        <f>Legal90103116129142155168181194[[#This Row],[Budgeted
cost]]-Legal90103116129142155168181194[[#This Row],[Actual
cost]]</f>
        <v>0</v>
      </c>
      <c r="G59" s="13"/>
      <c r="H59" s="18" t="s">
        <v>90</v>
      </c>
      <c r="I59" s="17"/>
      <c r="J59" s="17"/>
      <c r="K59" s="58"/>
      <c r="L59" s="17">
        <f>Gifts91104117130143156169182195[[#This Row],[Budgeted
cost]]-Gifts91104117130143156169182195[[#This Row],[Actual
cost]]</f>
        <v>0</v>
      </c>
    </row>
    <row r="60" spans="2:12">
      <c r="B60" s="18" t="s">
        <v>49</v>
      </c>
      <c r="C60" s="17"/>
      <c r="D60" s="17"/>
      <c r="E60" s="58"/>
      <c r="F60" s="17">
        <f>Legal90103116129142155168181194[[#This Row],[Budgeted
cost]]-Legal90103116129142155168181194[[#This Row],[Actual
cost]]</f>
        <v>0</v>
      </c>
      <c r="G60" s="13"/>
      <c r="H60" s="18" t="s">
        <v>31</v>
      </c>
      <c r="I60" s="19">
        <f>SUBTOTAL(109,Gifts91104117130143156169182195[Budgeted
cost])</f>
        <v>0</v>
      </c>
      <c r="J60" s="19">
        <f>SUBTOTAL(109,Gifts91104117130143156169182195[Actual
cost])</f>
        <v>0</v>
      </c>
      <c r="K60" s="64"/>
      <c r="L60" s="19">
        <f>SUBTOTAL(109,Gifts91104117130143156169182195[Difference])</f>
        <v>0</v>
      </c>
    </row>
    <row r="61" spans="2:12">
      <c r="B61" s="18" t="s">
        <v>49</v>
      </c>
      <c r="C61" s="17"/>
      <c r="D61" s="17"/>
      <c r="E61" s="58"/>
      <c r="F61" s="17">
        <f>Legal90103116129142155168181194[[#This Row],[Budgeted
cost]]-Legal90103116129142155168181194[[#This Row],[Actual
cost]]</f>
        <v>0</v>
      </c>
      <c r="G61" s="13"/>
    </row>
    <row r="62" spans="2:12">
      <c r="B62" s="18" t="s">
        <v>31</v>
      </c>
      <c r="C62" s="19">
        <f>SUBTOTAL(109,Legal90103116129142155168181194[Budgeted
cost])</f>
        <v>0</v>
      </c>
      <c r="D62" s="19">
        <f>SUBTOTAL(109,Legal90103116129142155168181194[Actual
cost])</f>
        <v>0</v>
      </c>
      <c r="E62" s="61"/>
      <c r="F62" s="19">
        <f>SUBTOTAL(109,Legal90103116129142155168181194[Difference])</f>
        <v>0</v>
      </c>
      <c r="G62" s="13"/>
    </row>
    <row r="63" spans="2:12" ht="24.6">
      <c r="E63" s="12"/>
      <c r="G63" s="15"/>
      <c r="I63" s="20"/>
      <c r="J63" s="20"/>
      <c r="K63" s="59"/>
    </row>
    <row r="64" spans="2:12" ht="27.6">
      <c r="B64" s="22" t="s">
        <v>19</v>
      </c>
      <c r="C64" s="21" t="s">
        <v>9</v>
      </c>
      <c r="D64" s="23" t="s">
        <v>10</v>
      </c>
      <c r="E64" s="63" t="s">
        <v>37</v>
      </c>
      <c r="F64" s="21" t="s">
        <v>11</v>
      </c>
      <c r="G64" s="14"/>
    </row>
    <row r="65" spans="2:10">
      <c r="B65" s="18" t="s">
        <v>91</v>
      </c>
      <c r="C65" s="17"/>
      <c r="D65" s="17"/>
      <c r="E65" s="58"/>
      <c r="F65" s="17">
        <f>Entertainment95108121134147160173186199[[#This Row],[Budgeted
cost]]-Entertainment95108121134147160173186199[[#This Row],[Actual
cost]]</f>
        <v>0</v>
      </c>
    </row>
    <row r="66" spans="2:10">
      <c r="B66" s="18" t="s">
        <v>92</v>
      </c>
      <c r="C66" s="17"/>
      <c r="D66" s="17"/>
      <c r="E66" s="58"/>
      <c r="F66" s="17">
        <f>Entertainment95108121134147160173186199[[#This Row],[Budgeted
cost]]-Entertainment95108121134147160173186199[[#This Row],[Actual
cost]]</f>
        <v>0</v>
      </c>
      <c r="G66" s="13"/>
    </row>
    <row r="67" spans="2:10">
      <c r="B67" s="18" t="s">
        <v>93</v>
      </c>
      <c r="C67" s="17"/>
      <c r="D67" s="17"/>
      <c r="E67" s="58"/>
      <c r="F67" s="17">
        <f>Entertainment95108121134147160173186199[[#This Row],[Budgeted
cost]]-Entertainment95108121134147160173186199[[#This Row],[Actual
cost]]</f>
        <v>0</v>
      </c>
      <c r="G67" s="13"/>
    </row>
    <row r="68" spans="2:10">
      <c r="B68" s="18" t="s">
        <v>94</v>
      </c>
      <c r="C68" s="17"/>
      <c r="D68" s="17"/>
      <c r="E68" s="58"/>
      <c r="F68" s="17">
        <f>Entertainment95108121134147160173186199[[#This Row],[Budgeted
cost]]-Entertainment95108121134147160173186199[[#This Row],[Actual
cost]]</f>
        <v>0</v>
      </c>
    </row>
    <row r="69" spans="2:10">
      <c r="B69" s="18" t="s">
        <v>95</v>
      </c>
      <c r="C69" s="17"/>
      <c r="D69" s="17"/>
      <c r="E69" s="58"/>
      <c r="F69" s="17">
        <f>Entertainment95108121134147160173186199[[#This Row],[Budgeted
cost]]-Entertainment95108121134147160173186199[[#This Row],[Actual
cost]]</f>
        <v>0</v>
      </c>
    </row>
    <row r="70" spans="2:10">
      <c r="B70" s="18" t="s">
        <v>96</v>
      </c>
      <c r="C70" s="17"/>
      <c r="D70" s="17"/>
      <c r="E70" s="58"/>
      <c r="F70" s="17">
        <f>Entertainment95108121134147160173186199[[#This Row],[Budgeted
cost]]-Entertainment95108121134147160173186199[[#This Row],[Actual
cost]]</f>
        <v>0</v>
      </c>
    </row>
    <row r="71" spans="2:10">
      <c r="B71" s="18" t="s">
        <v>49</v>
      </c>
      <c r="C71" s="17"/>
      <c r="D71" s="17"/>
      <c r="E71" s="58"/>
      <c r="F71" s="17">
        <f>Entertainment95108121134147160173186199[[#This Row],[Budgeted
cost]]-Entertainment95108121134147160173186199[[#This Row],[Actual
cost]]</f>
        <v>0</v>
      </c>
    </row>
    <row r="72" spans="2:10">
      <c r="B72" s="18" t="s">
        <v>31</v>
      </c>
      <c r="C72" s="19">
        <f>SUBTOTAL(109,Entertainment95108121134147160173186199[Budgeted
cost])</f>
        <v>0</v>
      </c>
      <c r="D72" s="19">
        <f>SUBTOTAL(109,Entertainment95108121134147160173186199[Actual
cost])</f>
        <v>0</v>
      </c>
      <c r="E72" s="64"/>
      <c r="F72" s="19">
        <f>SUBTOTAL(109,Entertainment95108121134147160173186199[Difference])</f>
        <v>0</v>
      </c>
      <c r="J72" s="16"/>
    </row>
    <row r="73" spans="2:10">
      <c r="E73" s="12"/>
    </row>
    <row r="74" spans="2:10">
      <c r="E74" s="12"/>
    </row>
  </sheetData>
  <conditionalFormatting sqref="B1:B14 F1:F14 G1:G25 H3:L10 H16:L24 B16:F26 G27:G33 H28:L33 B28:F34 H36:L40 B36:F42 G37:G43 H41:K41 H44:L51 B44:F55 G45:G56 H53:K53 H57:L60 B57:F62 G58:G64 B65:F72 G66:G67">
    <cfRule type="cellIs" dxfId="319" priority="3" operator="lessThan">
      <formula>0</formula>
    </cfRule>
  </conditionalFormatting>
  <conditionalFormatting sqref="B3:F13">
    <cfRule type="cellIs" dxfId="318" priority="2" operator="lessThan">
      <formula>0</formula>
    </cfRule>
  </conditionalFormatting>
  <conditionalFormatting sqref="F3:F12">
    <cfRule type="iconSet" priority="1">
      <iconSet iconSet="3Arrows">
        <cfvo type="percentile" val="0"/>
        <cfvo type="num" val="-50"/>
        <cfvo type="num" val="50"/>
      </iconSet>
    </cfRule>
  </conditionalFormatting>
  <conditionalFormatting sqref="L28:L32 L57:L59 F65:F71 L36:L39 F16:F24 L44:L50 F28:F32 F36:F40 F44:F53 L16:L23 F57:F61 L3:L9">
    <cfRule type="iconSet" priority="4">
      <iconSet iconSet="3Arrows">
        <cfvo type="percentile" val="0"/>
        <cfvo type="num" val="-50"/>
        <cfvo type="num" val="50"/>
      </iconSet>
    </cfRule>
  </conditionalFormatting>
  <dataValidations count="1">
    <dataValidation allowBlank="1" showInputMessage="1" showErrorMessage="1" prompt="Enter details in Transportation table below and in Insurance table starting in cell B30" sqref="G1:G14 B1:B12 B14" xr:uid="{4E350E54-23DA-4939-8819-E226A2F2A6F8}"/>
  </dataValidations>
  <pageMargins left="0.7" right="0.7" top="0.75" bottom="0.75" header="0.3" footer="0.3"/>
  <pageSetup orientation="landscape" horizontalDpi="1200" verticalDpi="1200" r:id="rId1"/>
  <headerFooter>
    <oddFooter>&amp;C&amp;P&amp;R&amp;G</oddFooter>
  </headerFooter>
  <legacyDrawingHF r:id="rId2"/>
  <tableParts count="13">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FDB8-532D-45DD-A16C-0FA14C6923F4}">
  <sheetPr>
    <tabColor theme="4"/>
  </sheetPr>
  <dimension ref="B1:J61"/>
  <sheetViews>
    <sheetView zoomScale="70" zoomScaleNormal="70" zoomScalePageLayoutView="70" workbookViewId="0">
      <selection activeCell="C3" sqref="C3:D3"/>
    </sheetView>
  </sheetViews>
  <sheetFormatPr defaultColWidth="9" defaultRowHeight="30" customHeight="1"/>
  <cols>
    <col min="1" max="1" width="1.25" customWidth="1"/>
    <col min="2" max="6" width="24.625" customWidth="1"/>
    <col min="7" max="7" width="7.75" customWidth="1"/>
    <col min="8" max="8" width="32.875" customWidth="1"/>
    <col min="9" max="9" width="32.875" style="2" customWidth="1"/>
    <col min="10" max="10" width="2.375" customWidth="1"/>
  </cols>
  <sheetData>
    <row r="1" spans="2:10" ht="77.25" customHeight="1">
      <c r="B1" s="113" t="s">
        <v>106</v>
      </c>
      <c r="C1" s="113"/>
      <c r="D1" s="113"/>
      <c r="E1" s="113"/>
      <c r="F1" s="113"/>
      <c r="G1" s="113"/>
      <c r="H1" s="113"/>
      <c r="I1" s="26"/>
      <c r="J1" s="27"/>
    </row>
    <row r="2" spans="2:10" ht="35.450000000000003">
      <c r="B2" s="54" t="s">
        <v>1</v>
      </c>
      <c r="C2" s="24" t="s">
        <v>2</v>
      </c>
      <c r="D2" s="55" t="s">
        <v>3</v>
      </c>
      <c r="E2" s="25" t="s">
        <v>4</v>
      </c>
      <c r="F2" s="1"/>
      <c r="H2" s="36"/>
      <c r="I2" s="26"/>
      <c r="J2" s="29"/>
    </row>
    <row r="3" spans="2:10" ht="35.450000000000003">
      <c r="B3" s="11"/>
      <c r="C3" s="76">
        <f>C19</f>
        <v>0</v>
      </c>
      <c r="D3" s="76">
        <f>D19</f>
        <v>0</v>
      </c>
      <c r="E3" s="78">
        <f>SUM(C3-D3)</f>
        <v>0</v>
      </c>
      <c r="F3" s="1"/>
      <c r="H3" s="36"/>
      <c r="I3" s="26"/>
      <c r="J3" s="29"/>
    </row>
    <row r="4" spans="2:10" ht="35.450000000000003">
      <c r="C4" s="33"/>
      <c r="D4" s="33"/>
      <c r="E4" s="33"/>
      <c r="F4" s="10"/>
      <c r="H4" s="36"/>
      <c r="I4" s="26"/>
      <c r="J4" s="29"/>
    </row>
    <row r="5" spans="2:10" ht="27.6">
      <c r="B5" s="79" t="s">
        <v>8</v>
      </c>
      <c r="C5" s="80" t="s">
        <v>9</v>
      </c>
      <c r="D5" s="80" t="s">
        <v>10</v>
      </c>
      <c r="E5" s="81" t="s">
        <v>11</v>
      </c>
      <c r="G5" s="10"/>
      <c r="H5" s="114" t="s">
        <v>33</v>
      </c>
      <c r="I5" s="115"/>
      <c r="J5" s="30"/>
    </row>
    <row r="6" spans="2:10" ht="15">
      <c r="B6" s="82" t="s">
        <v>13</v>
      </c>
      <c r="C6" s="83">
        <f>Housing[[#Totals],[Budgeted
cost]]</f>
        <v>0</v>
      </c>
      <c r="D6" s="83">
        <f>Housing[[#Totals],[Actual
cost]]</f>
        <v>0</v>
      </c>
      <c r="E6" s="84">
        <f>'November - Overview'!$C6-'November - Overview'!$D6</f>
        <v>0</v>
      </c>
      <c r="G6" s="10"/>
      <c r="H6" s="37" t="s">
        <v>6</v>
      </c>
      <c r="I6" s="38"/>
      <c r="J6" s="28"/>
    </row>
    <row r="7" spans="2:10" ht="15">
      <c r="B7" s="85" t="s">
        <v>15</v>
      </c>
      <c r="C7" s="73">
        <f>Transportation[[#Totals],[Budgeted
cost]]</f>
        <v>0</v>
      </c>
      <c r="D7" s="73">
        <f>Transportation[[#Totals],[Actual
cost]]</f>
        <v>0</v>
      </c>
      <c r="E7" s="86">
        <f>'November - Overview'!$C7-'November - Overview'!$D7</f>
        <v>0</v>
      </c>
      <c r="G7" s="10"/>
      <c r="H7" s="69" t="s">
        <v>7</v>
      </c>
      <c r="I7" s="71"/>
      <c r="J7" s="28"/>
    </row>
    <row r="8" spans="2:10" ht="15">
      <c r="B8" s="87" t="s">
        <v>16</v>
      </c>
      <c r="C8" s="72">
        <f>Loans[[#Totals],[Budgeted
cost]]</f>
        <v>0</v>
      </c>
      <c r="D8" s="72">
        <f>Loans[[#Totals],[Actual
cost]]</f>
        <v>0</v>
      </c>
      <c r="E8" s="88">
        <f>'November - Overview'!$C8-'November - Overview'!$D8</f>
        <v>0</v>
      </c>
      <c r="G8" s="10"/>
      <c r="H8" s="41" t="s">
        <v>12</v>
      </c>
      <c r="I8" s="38"/>
      <c r="J8" s="28"/>
    </row>
    <row r="9" spans="2:10" ht="17.45">
      <c r="B9" s="85" t="s">
        <v>18</v>
      </c>
      <c r="C9" s="73">
        <f>Insurance[[#Totals],[Budgeted
cost]]</f>
        <v>0</v>
      </c>
      <c r="D9" s="73">
        <f>Insurance[[#Totals],[Actual
cost]]</f>
        <v>0</v>
      </c>
      <c r="E9" s="86">
        <f>'November - Overview'!$C9-'November - Overview'!$D9</f>
        <v>0</v>
      </c>
      <c r="G9" s="10"/>
      <c r="H9" s="42" t="s">
        <v>14</v>
      </c>
      <c r="I9" s="43">
        <f>SUM(I6:I8)</f>
        <v>0</v>
      </c>
      <c r="J9" s="28"/>
    </row>
    <row r="10" spans="2:10" ht="15">
      <c r="B10" s="87" t="s">
        <v>19</v>
      </c>
      <c r="C10" s="72">
        <f>Entertainment[[#Totals],[Budgeted
cost]]</f>
        <v>0</v>
      </c>
      <c r="D10" s="72">
        <f>Entertainment[[#Totals],[Actual
cost]]</f>
        <v>0</v>
      </c>
      <c r="E10" s="88">
        <f>'November - Overview'!$C10-'November - Overview'!$D10</f>
        <v>0</v>
      </c>
      <c r="G10" s="10"/>
      <c r="H10" s="31"/>
      <c r="I10" s="31"/>
      <c r="J10" s="28"/>
    </row>
    <row r="11" spans="2:10" ht="24.6">
      <c r="B11" s="85" t="s">
        <v>20</v>
      </c>
      <c r="C11" s="94">
        <f>Food[[#Totals],[Budgeted
cost]]</f>
        <v>0</v>
      </c>
      <c r="D11" s="94">
        <f>Food[[#Totals],[Actual
cost]]</f>
        <v>0</v>
      </c>
      <c r="E11" s="95">
        <f>'November - Overview'!$C11-'November - Overview'!$D11</f>
        <v>0</v>
      </c>
      <c r="G11" s="10"/>
      <c r="H11" s="116" t="s">
        <v>34</v>
      </c>
      <c r="I11" s="117"/>
      <c r="J11" s="31"/>
    </row>
    <row r="12" spans="2:10" ht="15">
      <c r="B12" s="87" t="s">
        <v>21</v>
      </c>
      <c r="C12" s="96">
        <f>Taxes[[#Totals],[Budgeted 
cost]]</f>
        <v>0</v>
      </c>
      <c r="D12" s="96">
        <f>Taxes[[#Totals],[Actual 
cost]]</f>
        <v>0</v>
      </c>
      <c r="E12" s="97">
        <f>'November - Overview'!$C12-'November - Overview'!$D12</f>
        <v>0</v>
      </c>
      <c r="G12" s="10"/>
      <c r="H12" s="41" t="s">
        <v>6</v>
      </c>
      <c r="I12" s="44"/>
      <c r="J12" s="30"/>
    </row>
    <row r="13" spans="2:10" ht="15">
      <c r="B13" s="85" t="s">
        <v>22</v>
      </c>
      <c r="C13" s="98">
        <f>Children[[#Totals],[Budgeted
cost]]</f>
        <v>0</v>
      </c>
      <c r="D13" s="98">
        <f>Children[[#Totals],[Actual
cost]]</f>
        <v>0</v>
      </c>
      <c r="E13" s="99">
        <f>'November - Overview'!$C13-'November - Overview'!$D13</f>
        <v>0</v>
      </c>
      <c r="G13" s="10"/>
      <c r="H13" s="69" t="s">
        <v>7</v>
      </c>
      <c r="I13" s="70"/>
      <c r="J13" s="28"/>
    </row>
    <row r="14" spans="2:10" ht="15">
      <c r="B14" s="87" t="s">
        <v>23</v>
      </c>
      <c r="C14" s="100">
        <f>PersonalCare[[#Totals],[Budgeted
cost]]</f>
        <v>0</v>
      </c>
      <c r="D14" s="100">
        <f>PersonalCare[[#Totals],[Actual
cost]]</f>
        <v>0</v>
      </c>
      <c r="E14" s="101">
        <f>'November - Overview'!$C14-'November - Overview'!$D14</f>
        <v>0</v>
      </c>
      <c r="G14" s="10"/>
      <c r="H14" s="41" t="s">
        <v>12</v>
      </c>
      <c r="I14" s="44"/>
      <c r="J14" s="28"/>
    </row>
    <row r="15" spans="2:10" ht="17.45">
      <c r="B15" s="85" t="s">
        <v>25</v>
      </c>
      <c r="C15" s="94">
        <f>Legal[[#Totals],[Budgeted
cost]]</f>
        <v>0</v>
      </c>
      <c r="D15" s="94">
        <f>Legal[[#Totals],[Actual
cost]]</f>
        <v>0</v>
      </c>
      <c r="E15" s="95">
        <f>'November - Overview'!$C15-'November - Overview'!$D15</f>
        <v>0</v>
      </c>
      <c r="G15" s="10"/>
      <c r="H15" s="46" t="s">
        <v>14</v>
      </c>
      <c r="I15" s="47">
        <f>SUM(I12:I14)</f>
        <v>0</v>
      </c>
      <c r="J15" s="28"/>
    </row>
    <row r="16" spans="2:10" ht="15">
      <c r="B16" s="87" t="s">
        <v>27</v>
      </c>
      <c r="C16" s="96">
        <f>Pets[[#Totals],[Budgeted
cost]]</f>
        <v>0</v>
      </c>
      <c r="D16" s="96">
        <f>Pets[[#Totals],[Actual
cost]]</f>
        <v>0</v>
      </c>
      <c r="E16" s="97">
        <f>'November - Overview'!$C16-'November - Overview'!$D16</f>
        <v>0</v>
      </c>
      <c r="G16" s="10"/>
      <c r="H16" s="31"/>
      <c r="I16" s="31"/>
      <c r="J16" s="28"/>
    </row>
    <row r="17" spans="2:10" ht="24.6">
      <c r="B17" s="85" t="s">
        <v>29</v>
      </c>
      <c r="C17" s="73">
        <f>Savings[[#Totals],[Budgeted
cost]]</f>
        <v>0</v>
      </c>
      <c r="D17" s="73">
        <f>Savings[[#Totals],[Actual
cost]]</f>
        <v>0</v>
      </c>
      <c r="E17" s="86">
        <f>'November - Overview'!$C17-'November - Overview'!$D17</f>
        <v>0</v>
      </c>
      <c r="F17" s="10"/>
      <c r="G17" s="8"/>
      <c r="H17" s="118" t="s">
        <v>24</v>
      </c>
      <c r="I17" s="119"/>
      <c r="J17" s="29"/>
    </row>
    <row r="18" spans="2:10" ht="15.6" thickBot="1">
      <c r="B18" s="87" t="s">
        <v>30</v>
      </c>
      <c r="C18" s="72">
        <f>Gifts[[#Totals],[Budgeted
cost]]</f>
        <v>0</v>
      </c>
      <c r="D18" s="72">
        <f>Gifts[[#Totals],[Actual
cost]]</f>
        <v>0</v>
      </c>
      <c r="E18" s="88">
        <f>'November - Overview'!$C18-'November - Overview'!$D18</f>
        <v>0</v>
      </c>
      <c r="F18" s="34"/>
      <c r="G18" s="35"/>
      <c r="H18" s="48" t="s">
        <v>35</v>
      </c>
      <c r="I18" s="49">
        <f>SUM(I9-'November - Overview'!$C$3:$C$3)</f>
        <v>0</v>
      </c>
      <c r="J18" s="29"/>
    </row>
    <row r="19" spans="2:10" s="32" customFormat="1" ht="25.15" thickTop="1">
      <c r="B19" s="91" t="s">
        <v>31</v>
      </c>
      <c r="C19" s="92">
        <f>SUBTOTAL(109,'November - Overview'!$C$6:$C$18)</f>
        <v>0</v>
      </c>
      <c r="D19" s="92">
        <f>SUBTOTAL(109,'November - Overview'!$D$6:$D$18)</f>
        <v>0</v>
      </c>
      <c r="E19" s="93">
        <f>SUBTOTAL(109,'November - Overview'!$E$6:$E$18)</f>
        <v>0</v>
      </c>
      <c r="H19" s="67" t="s">
        <v>36</v>
      </c>
      <c r="I19" s="68">
        <f>SUM(I15-D3)</f>
        <v>0</v>
      </c>
    </row>
    <row r="20" spans="2:10" ht="17.45">
      <c r="H20" s="52" t="s">
        <v>11</v>
      </c>
      <c r="I20" s="53">
        <f>SUM(I19-I18)</f>
        <v>0</v>
      </c>
    </row>
    <row r="21" spans="2:10" ht="30" customHeight="1">
      <c r="H21" s="8"/>
      <c r="I21" s="9"/>
    </row>
    <row r="22" spans="2:10" ht="30" customHeight="1">
      <c r="I22"/>
    </row>
    <row r="23" spans="2:10" ht="30" customHeight="1">
      <c r="I23"/>
    </row>
    <row r="24" spans="2:10" ht="30" customHeight="1">
      <c r="I24"/>
    </row>
    <row r="25" spans="2:10" ht="30" customHeight="1">
      <c r="I25"/>
    </row>
    <row r="26" spans="2:10" ht="30" customHeight="1">
      <c r="I26"/>
    </row>
    <row r="27" spans="2:10" ht="37.9" customHeight="1">
      <c r="I27"/>
    </row>
    <row r="28" spans="2:10" ht="30" customHeight="1">
      <c r="I28"/>
    </row>
    <row r="29" spans="2:10" ht="48" customHeight="1">
      <c r="I29"/>
    </row>
    <row r="30" spans="2:10" ht="30" customHeight="1">
      <c r="I30"/>
    </row>
    <row r="31" spans="2:10" ht="30" customHeight="1">
      <c r="I31"/>
    </row>
    <row r="32" spans="2:10" ht="30" customHeight="1">
      <c r="I32"/>
    </row>
    <row r="33" spans="9:9" ht="30" customHeight="1">
      <c r="I33"/>
    </row>
    <row r="34" spans="9:9" ht="30" customHeight="1">
      <c r="I34"/>
    </row>
    <row r="35" spans="9:9" ht="30" customHeight="1">
      <c r="I35"/>
    </row>
    <row r="36" spans="9:9" ht="30" customHeight="1">
      <c r="I36"/>
    </row>
    <row r="37" spans="9:9" ht="30" customHeight="1">
      <c r="I37"/>
    </row>
    <row r="38" spans="9:9" ht="30" customHeight="1">
      <c r="I38"/>
    </row>
    <row r="39" spans="9:9" ht="30" customHeight="1">
      <c r="I39"/>
    </row>
    <row r="40" spans="9:9" ht="37.9" customHeight="1">
      <c r="I40"/>
    </row>
    <row r="41" spans="9:9" ht="30" customHeight="1">
      <c r="I41"/>
    </row>
    <row r="42" spans="9:9" ht="48" customHeight="1">
      <c r="I42"/>
    </row>
    <row r="43" spans="9:9" ht="30" customHeight="1">
      <c r="I43"/>
    </row>
    <row r="44" spans="9:9" ht="30" customHeight="1">
      <c r="I44"/>
    </row>
    <row r="45" spans="9:9" ht="30" customHeight="1">
      <c r="I45"/>
    </row>
    <row r="46" spans="9:9" ht="30" customHeight="1">
      <c r="I46"/>
    </row>
    <row r="47" spans="9:9" ht="30" customHeight="1">
      <c r="I47"/>
    </row>
    <row r="48" spans="9:9" ht="30" customHeight="1">
      <c r="I48"/>
    </row>
    <row r="49" spans="9:9" ht="37.9" customHeight="1">
      <c r="I49"/>
    </row>
    <row r="50" spans="9:9" ht="30" customHeight="1">
      <c r="I50"/>
    </row>
    <row r="51" spans="9:9" ht="48" customHeight="1">
      <c r="I51"/>
    </row>
    <row r="52" spans="9:9" ht="30" customHeight="1">
      <c r="I52"/>
    </row>
    <row r="53" spans="9:9" ht="30" customHeight="1">
      <c r="I53"/>
    </row>
    <row r="54" spans="9:9" ht="30" customHeight="1">
      <c r="I54"/>
    </row>
    <row r="55" spans="9:9" ht="30" customHeight="1">
      <c r="I55"/>
    </row>
    <row r="56" spans="9:9" ht="30" customHeight="1">
      <c r="I56"/>
    </row>
    <row r="57" spans="9:9" ht="30" customHeight="1">
      <c r="I57"/>
    </row>
    <row r="58" spans="9:9" ht="30" customHeight="1">
      <c r="I58"/>
    </row>
    <row r="59" spans="9:9" ht="30" customHeight="1">
      <c r="I59"/>
    </row>
    <row r="60" spans="9:9" ht="30" customHeight="1">
      <c r="I60"/>
    </row>
    <row r="61" spans="9:9" ht="30" customHeight="1">
      <c r="I61"/>
    </row>
  </sheetData>
  <mergeCells count="4">
    <mergeCell ref="B1:H1"/>
    <mergeCell ref="H5:I5"/>
    <mergeCell ref="H11:I11"/>
    <mergeCell ref="H17:I17"/>
  </mergeCells>
  <conditionalFormatting sqref="B1 I1:J4 B2:F2 B3 E3:F3 F4 H5:H6 G5:G16 J5:J18 I6 H7:I10 H11 H12:I15 H16:H17 F17:G18 H18:I21">
    <cfRule type="cellIs" dxfId="219" priority="5" operator="lessThan">
      <formula>0</formula>
    </cfRule>
  </conditionalFormatting>
  <conditionalFormatting sqref="B6:E19">
    <cfRule type="cellIs" dxfId="218" priority="1" operator="lessThan">
      <formula>0</formula>
    </cfRule>
  </conditionalFormatting>
  <conditionalFormatting sqref="C3:D3">
    <cfRule type="cellIs" dxfId="217" priority="4" operator="lessThan">
      <formula>0</formula>
    </cfRule>
  </conditionalFormatting>
  <conditionalFormatting sqref="E3">
    <cfRule type="iconSet" priority="3">
      <iconSet iconSet="3Arrows">
        <cfvo type="percentile" val="0"/>
        <cfvo type="num" val="-50"/>
        <cfvo type="num" val="50"/>
      </iconSet>
    </cfRule>
  </conditionalFormatting>
  <conditionalFormatting sqref="E6:E18">
    <cfRule type="iconSet" priority="2">
      <iconSet iconSet="3Arrows">
        <cfvo type="percentile" val="0"/>
        <cfvo type="num" val="-50"/>
        <cfvo type="num" val="50"/>
      </iconSet>
    </cfRule>
  </conditionalFormatting>
  <conditionalFormatting sqref="I20:I21">
    <cfRule type="iconSet" priority="6">
      <iconSet iconSet="3Arrows">
        <cfvo type="percentile" val="0"/>
        <cfvo type="num" val="-50"/>
        <cfvo type="num" val="50"/>
      </iconSet>
    </cfRule>
  </conditionalFormatting>
  <dataValidations count="11">
    <dataValidation allowBlank="1" showInputMessage="1" showErrorMessage="1" prompt="Total Projected, Actual, and Difference is auto calculated in this table" sqref="B2" xr:uid="{A4CABDC9-F00E-43A3-BFFB-69F6B9056B95}"/>
    <dataValidation allowBlank="1" showInputMessage="1" showErrorMessage="1" prompt="Balance is in this column under this heading" sqref="H17" xr:uid="{D38E6CAC-0DCA-4E2D-8DC5-E0F960C80FA8}"/>
    <dataValidation allowBlank="1" showInputMessage="1" showErrorMessage="1" prompt="Balance table below is auto updated" sqref="H16" xr:uid="{8E7EFF9E-29F8-4075-8A9D-1FDE4FE68581}"/>
    <dataValidation allowBlank="1" showInputMessage="1" showErrorMessage="1" prompt="Enter Actual Monthly Income Source in this column under this heading" sqref="H11" xr:uid="{36CFF891-4E8C-4DD5-92AB-5670CB492BFD}"/>
    <dataValidation allowBlank="1" showInputMessage="1" showErrorMessage="1" prompt="Enter details in Actual Monthly Income table below" sqref="H10" xr:uid="{4B0035DA-B69C-496B-8A34-9D8FA15308D7}"/>
    <dataValidation allowBlank="1" showInputMessage="1" showErrorMessage="1" prompt="Enter Projected Monthly Income Source in this column under this heading" sqref="H5" xr:uid="{28016B6A-DDE1-4B1C-9236-9BF6566F4D49}"/>
    <dataValidation allowBlank="1" showInputMessage="1" showErrorMessage="1" prompt="Total Difference is auto calculated in cell below" sqref="E2" xr:uid="{CE2FC937-0AC5-4F94-BAFF-7B42A716DD6A}"/>
    <dataValidation allowBlank="1" showInputMessage="1" showErrorMessage="1" prompt="Total Actual Cost is auto calculated in cell below" sqref="D2" xr:uid="{B65817C3-C970-4A89-96E3-86F527CC922B}"/>
    <dataValidation allowBlank="1" showInputMessage="1" showErrorMessage="1" prompt="Total Projected Cost is auto calculated in cell below" sqref="C2" xr:uid="{F1DE7591-3D57-46EB-8077-CC16BE824664}"/>
    <dataValidation allowBlank="1" showInputMessage="1" showErrorMessage="1" prompt="Title of this worksheet is in this cell. Summary is in table below. Sample expense categories are in separate tables starting in B5. Enter income amounts starting in cell G2" sqref="B1" xr:uid="{D355E2DC-A8B1-4ECF-9B67-9747C4655A42}"/>
    <dataValidation allowBlank="1" showInputMessage="1" showErrorMessage="1" prompt="Create a Family Budget Planner in this worksheet. Enter details in tables. Total Projected and Actual Costs, Projected and Actual Balance, and Difference are auto calculated" sqref="A1" xr:uid="{84FA7F23-170B-4AEE-834E-70C5AEBC9786}"/>
  </dataValidations>
  <printOptions horizontalCentered="1"/>
  <pageMargins left="0.23622047244094491" right="0.23622047244094491" top="0.51181102362204722" bottom="0.51181102362204722" header="0.51181102362204722" footer="0.51181102362204722"/>
  <pageSetup scale="60" orientation="landscape" r:id="rId1"/>
  <headerFooter alignWithMargins="0"/>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6FED6-7E5D-4B1B-BD4D-BC9BD815DEBE}">
  <sheetPr>
    <tabColor theme="2" tint="-9.9978637043366805E-2"/>
  </sheetPr>
  <dimension ref="B1:L74"/>
  <sheetViews>
    <sheetView topLeftCell="A9" zoomScale="70" zoomScaleNormal="70" workbookViewId="0">
      <selection activeCell="I36" sqref="I36"/>
    </sheetView>
  </sheetViews>
  <sheetFormatPr defaultColWidth="9" defaultRowHeight="13.9"/>
  <cols>
    <col min="1" max="1" width="2.375" style="12" customWidth="1"/>
    <col min="2" max="2" width="29.75" style="12" bestFit="1" customWidth="1"/>
    <col min="3" max="3" width="13.5" style="12" bestFit="1" customWidth="1"/>
    <col min="4" max="4" width="10.25" style="12" bestFit="1" customWidth="1"/>
    <col min="5" max="5" width="14.875" style="66" bestFit="1" customWidth="1"/>
    <col min="6" max="6" width="14.25" style="12" bestFit="1" customWidth="1"/>
    <col min="7" max="7" width="5.5" style="12" customWidth="1"/>
    <col min="8" max="8" width="28.125" style="12" bestFit="1" customWidth="1"/>
    <col min="9" max="9" width="13.5" style="12" bestFit="1" customWidth="1"/>
    <col min="10" max="10" width="10.25" style="12" bestFit="1" customWidth="1"/>
    <col min="11" max="11" width="12.875" style="12" bestFit="1" customWidth="1"/>
    <col min="12" max="12" width="14.25" style="12" bestFit="1" customWidth="1"/>
    <col min="13" max="16384" width="9" style="12"/>
  </cols>
  <sheetData>
    <row r="1" spans="2:12" ht="15" customHeight="1">
      <c r="B1" s="56"/>
      <c r="C1" s="56"/>
      <c r="D1" s="56"/>
      <c r="E1" s="74"/>
      <c r="F1" s="75"/>
      <c r="G1" s="56"/>
      <c r="H1" s="56"/>
      <c r="I1" s="56"/>
      <c r="J1" s="56"/>
    </row>
    <row r="2" spans="2:12" ht="15" customHeight="1">
      <c r="B2" s="22" t="s">
        <v>13</v>
      </c>
      <c r="C2" s="21" t="s">
        <v>9</v>
      </c>
      <c r="D2" s="21" t="s">
        <v>10</v>
      </c>
      <c r="E2" s="57" t="s">
        <v>37</v>
      </c>
      <c r="F2" s="21" t="s">
        <v>11</v>
      </c>
      <c r="G2" s="56"/>
      <c r="H2" s="22" t="s">
        <v>29</v>
      </c>
      <c r="I2" s="21" t="s">
        <v>9</v>
      </c>
      <c r="J2" s="21" t="s">
        <v>10</v>
      </c>
      <c r="K2" s="63" t="s">
        <v>37</v>
      </c>
      <c r="L2" s="21" t="s">
        <v>11</v>
      </c>
    </row>
    <row r="3" spans="2:12" ht="15" customHeight="1">
      <c r="B3" s="18" t="s">
        <v>38</v>
      </c>
      <c r="C3" s="17"/>
      <c r="D3" s="17"/>
      <c r="E3" s="58"/>
      <c r="F3" s="17">
        <f>Housing102115128141154167180193206219[[#This Row],[Budgeted
cost]]-Housing102115128141154167180193206219[[#This Row],[Actual
cost]]</f>
        <v>0</v>
      </c>
      <c r="G3" s="56"/>
      <c r="H3" s="18" t="s">
        <v>39</v>
      </c>
      <c r="I3" s="17"/>
      <c r="J3" s="17"/>
      <c r="K3" s="58"/>
      <c r="L3" s="17">
        <f>Savings92105118131144157170183196209[[#This Row],[Budgeted
cost]]-Savings92105118131144157170183196209[[#This Row],[Actual
cost]]</f>
        <v>0</v>
      </c>
    </row>
    <row r="4" spans="2:12" ht="15" customHeight="1">
      <c r="B4" s="18" t="s">
        <v>40</v>
      </c>
      <c r="C4" s="17"/>
      <c r="D4" s="17"/>
      <c r="E4" s="58"/>
      <c r="F4" s="17">
        <f>Housing102115128141154167180193206219[[#This Row],[Budgeted
cost]]-Housing102115128141154167180193206219[[#This Row],[Actual
cost]]</f>
        <v>0</v>
      </c>
      <c r="G4" s="56"/>
      <c r="H4" s="18" t="s">
        <v>41</v>
      </c>
      <c r="I4" s="17"/>
      <c r="J4" s="17"/>
      <c r="K4" s="58"/>
      <c r="L4" s="17">
        <f>Savings92105118131144157170183196209[[#This Row],[Budgeted
cost]]-Savings92105118131144157170183196209[[#This Row],[Actual
cost]]</f>
        <v>0</v>
      </c>
    </row>
    <row r="5" spans="2:12" ht="15" customHeight="1">
      <c r="B5" s="18" t="s">
        <v>42</v>
      </c>
      <c r="C5" s="17"/>
      <c r="D5" s="17"/>
      <c r="E5" s="58"/>
      <c r="F5" s="17">
        <f>Housing102115128141154167180193206219[[#This Row],[Budgeted
cost]]-Housing102115128141154167180193206219[[#This Row],[Actual
cost]]</f>
        <v>0</v>
      </c>
      <c r="G5" s="56"/>
      <c r="H5" s="18" t="s">
        <v>43</v>
      </c>
      <c r="I5" s="17"/>
      <c r="J5" s="17"/>
      <c r="K5" s="58"/>
      <c r="L5" s="17">
        <f>Savings92105118131144157170183196209[[#This Row],[Budgeted
cost]]-Savings92105118131144157170183196209[[#This Row],[Actual
cost]]</f>
        <v>0</v>
      </c>
    </row>
    <row r="6" spans="2:12" ht="15" customHeight="1">
      <c r="B6" s="18" t="s">
        <v>44</v>
      </c>
      <c r="C6" s="17"/>
      <c r="D6" s="17"/>
      <c r="E6" s="58"/>
      <c r="F6" s="17">
        <f>Housing102115128141154167180193206219[[#This Row],[Budgeted
cost]]-Housing102115128141154167180193206219[[#This Row],[Actual
cost]]</f>
        <v>0</v>
      </c>
      <c r="G6" s="56"/>
      <c r="H6" s="18" t="s">
        <v>45</v>
      </c>
      <c r="I6" s="17"/>
      <c r="J6" s="17"/>
      <c r="K6" s="58"/>
      <c r="L6" s="17">
        <f>Savings92105118131144157170183196209[[#This Row],[Budgeted
cost]]-Savings92105118131144157170183196209[[#This Row],[Actual
cost]]</f>
        <v>0</v>
      </c>
    </row>
    <row r="7" spans="2:12" ht="15" customHeight="1">
      <c r="B7" s="18" t="s">
        <v>46</v>
      </c>
      <c r="C7" s="17"/>
      <c r="D7" s="17"/>
      <c r="E7" s="58"/>
      <c r="F7" s="17">
        <f>Housing102115128141154167180193206219[[#This Row],[Budgeted
cost]]-Housing102115128141154167180193206219[[#This Row],[Actual
cost]]</f>
        <v>0</v>
      </c>
      <c r="G7" s="56"/>
      <c r="H7" s="18" t="s">
        <v>47</v>
      </c>
      <c r="I7" s="17"/>
      <c r="J7" s="17"/>
      <c r="K7" s="58"/>
      <c r="L7" s="17">
        <f>Savings92105118131144157170183196209[[#This Row],[Budgeted
cost]]-Savings92105118131144157170183196209[[#This Row],[Actual
cost]]</f>
        <v>0</v>
      </c>
    </row>
    <row r="8" spans="2:12" ht="15" customHeight="1">
      <c r="B8" s="18" t="s">
        <v>48</v>
      </c>
      <c r="C8" s="17"/>
      <c r="D8" s="17"/>
      <c r="E8" s="58"/>
      <c r="F8" s="17">
        <f>Housing102115128141154167180193206219[[#This Row],[Budgeted
cost]]-Housing102115128141154167180193206219[[#This Row],[Actual
cost]]</f>
        <v>0</v>
      </c>
      <c r="G8" s="56"/>
      <c r="H8" s="18" t="s">
        <v>49</v>
      </c>
      <c r="I8" s="17"/>
      <c r="J8" s="17"/>
      <c r="K8" s="58"/>
      <c r="L8" s="17">
        <f>Savings92105118131144157170183196209[[#This Row],[Budgeted
cost]]-Savings92105118131144157170183196209[[#This Row],[Actual
cost]]</f>
        <v>0</v>
      </c>
    </row>
    <row r="9" spans="2:12" ht="15" customHeight="1">
      <c r="B9" s="18" t="s">
        <v>50</v>
      </c>
      <c r="C9" s="17"/>
      <c r="D9" s="17"/>
      <c r="E9" s="58"/>
      <c r="F9" s="17">
        <f>Housing102115128141154167180193206219[[#This Row],[Budgeted
cost]]-Housing102115128141154167180193206219[[#This Row],[Actual
cost]]</f>
        <v>0</v>
      </c>
      <c r="G9" s="56"/>
      <c r="H9" s="18" t="s">
        <v>49</v>
      </c>
      <c r="I9" s="17"/>
      <c r="J9" s="17"/>
      <c r="K9" s="58"/>
      <c r="L9" s="17">
        <f>Savings92105118131144157170183196209[[#This Row],[Budgeted
cost]]-Savings92105118131144157170183196209[[#This Row],[Actual
cost]]</f>
        <v>0</v>
      </c>
    </row>
    <row r="10" spans="2:12" ht="15" customHeight="1">
      <c r="B10" s="18" t="s">
        <v>51</v>
      </c>
      <c r="C10" s="17"/>
      <c r="D10" s="17"/>
      <c r="E10" s="58"/>
      <c r="F10" s="17">
        <f>Housing102115128141154167180193206219[[#This Row],[Budgeted
cost]]-Housing102115128141154167180193206219[[#This Row],[Actual
cost]]</f>
        <v>0</v>
      </c>
      <c r="G10" s="56"/>
      <c r="H10" s="18" t="s">
        <v>31</v>
      </c>
      <c r="I10" s="19">
        <f>SUBTOTAL(109,Savings92105118131144157170183196209[Budgeted
cost])</f>
        <v>0</v>
      </c>
      <c r="J10" s="19">
        <f>SUBTOTAL(109,Savings92105118131144157170183196209[Actual
cost])</f>
        <v>0</v>
      </c>
      <c r="K10" s="61"/>
      <c r="L10" s="19">
        <f>SUBTOTAL(109,Savings92105118131144157170183196209[Difference])</f>
        <v>0</v>
      </c>
    </row>
    <row r="11" spans="2:12" ht="15" customHeight="1">
      <c r="B11" s="18" t="s">
        <v>52</v>
      </c>
      <c r="C11" s="17"/>
      <c r="D11" s="17"/>
      <c r="E11" s="58"/>
      <c r="F11" s="17">
        <f>Housing102115128141154167180193206219[[#This Row],[Budgeted
cost]]-Housing102115128141154167180193206219[[#This Row],[Actual
cost]]</f>
        <v>0</v>
      </c>
      <c r="G11" s="56"/>
      <c r="H11" s="56"/>
      <c r="I11" s="56"/>
      <c r="J11" s="56"/>
    </row>
    <row r="12" spans="2:12" ht="15" customHeight="1">
      <c r="B12" s="18" t="s">
        <v>49</v>
      </c>
      <c r="C12" s="17"/>
      <c r="D12" s="17"/>
      <c r="E12" s="58"/>
      <c r="F12" s="17">
        <f>Housing102115128141154167180193206219[[#This Row],[Budgeted
cost]]-Housing102115128141154167180193206219[[#This Row],[Actual
cost]]</f>
        <v>0</v>
      </c>
      <c r="G12" s="56"/>
    </row>
    <row r="13" spans="2:12" ht="15" customHeight="1">
      <c r="B13" s="18" t="s">
        <v>31</v>
      </c>
      <c r="C13" s="19">
        <f>SUBTOTAL(109,Housing102115128141154167180193206219[Budgeted
cost])</f>
        <v>0</v>
      </c>
      <c r="D13" s="19">
        <f>SUBTOTAL(109,Housing102115128141154167180193206219[Actual
cost])</f>
        <v>0</v>
      </c>
      <c r="E13"/>
      <c r="F13" s="19">
        <f>SUBTOTAL(109,Housing102115128141154167180193206219[Difference])</f>
        <v>0</v>
      </c>
      <c r="G13" s="56"/>
    </row>
    <row r="14" spans="2:12" ht="15" customHeight="1">
      <c r="B14" s="56"/>
      <c r="C14" s="56"/>
      <c r="D14" s="56"/>
      <c r="E14" s="74"/>
      <c r="F14" s="75"/>
      <c r="G14" s="56"/>
    </row>
    <row r="15" spans="2:12" ht="27.6">
      <c r="B15" s="22" t="s">
        <v>15</v>
      </c>
      <c r="C15" s="21" t="s">
        <v>9</v>
      </c>
      <c r="D15" s="21" t="s">
        <v>10</v>
      </c>
      <c r="E15" s="60" t="s">
        <v>37</v>
      </c>
      <c r="F15" s="21" t="s">
        <v>11</v>
      </c>
      <c r="G15" s="13"/>
      <c r="H15" s="22" t="s">
        <v>23</v>
      </c>
      <c r="I15" s="21" t="s">
        <v>9</v>
      </c>
      <c r="J15" s="23" t="s">
        <v>10</v>
      </c>
      <c r="K15" s="63" t="s">
        <v>37</v>
      </c>
      <c r="L15" s="21" t="s">
        <v>11</v>
      </c>
    </row>
    <row r="16" spans="2:12">
      <c r="B16" s="18" t="s">
        <v>53</v>
      </c>
      <c r="C16" s="17"/>
      <c r="D16" s="17"/>
      <c r="E16" s="58"/>
      <c r="F16" s="17">
        <f>Transportation101114127140153166179192205218[[#This Row],[Budgeted
cost]]-Transportation101114127140153166179192205218[[#This Row],[Actual
cost]]</f>
        <v>0</v>
      </c>
      <c r="G16" s="13"/>
      <c r="H16" s="18" t="s">
        <v>54</v>
      </c>
      <c r="I16" s="17"/>
      <c r="J16" s="17"/>
      <c r="K16" s="58"/>
      <c r="L16" s="17">
        <f>PersonalCare96109122135148161174187200213[[#This Row],[Budgeted
cost]]-PersonalCare96109122135148161174187200213[[#This Row],[Actual
cost]]</f>
        <v>0</v>
      </c>
    </row>
    <row r="17" spans="2:12">
      <c r="B17" s="18" t="s">
        <v>55</v>
      </c>
      <c r="C17" s="17"/>
      <c r="D17" s="17"/>
      <c r="E17" s="58"/>
      <c r="F17" s="17">
        <f>Transportation101114127140153166179192205218[[#This Row],[Budgeted
cost]]-Transportation101114127140153166179192205218[[#This Row],[Actual
cost]]</f>
        <v>0</v>
      </c>
      <c r="G17" s="13"/>
      <c r="H17" s="18" t="s">
        <v>56</v>
      </c>
      <c r="I17" s="17"/>
      <c r="J17" s="17"/>
      <c r="K17" s="58"/>
      <c r="L17" s="17">
        <f>PersonalCare96109122135148161174187200213[[#This Row],[Budgeted
cost]]-PersonalCare96109122135148161174187200213[[#This Row],[Actual
cost]]</f>
        <v>0</v>
      </c>
    </row>
    <row r="18" spans="2:12">
      <c r="B18" s="18" t="s">
        <v>57</v>
      </c>
      <c r="C18" s="17"/>
      <c r="D18" s="17"/>
      <c r="E18" s="58"/>
      <c r="F18" s="17">
        <f>Transportation101114127140153166179192205218[[#This Row],[Budgeted
cost]]-Transportation101114127140153166179192205218[[#This Row],[Actual
cost]]</f>
        <v>0</v>
      </c>
      <c r="G18" s="13"/>
      <c r="H18" s="18" t="s">
        <v>58</v>
      </c>
      <c r="I18" s="17"/>
      <c r="J18" s="17"/>
      <c r="K18" s="58"/>
      <c r="L18" s="17">
        <f>PersonalCare96109122135148161174187200213[[#This Row],[Budgeted
cost]]-PersonalCare96109122135148161174187200213[[#This Row],[Actual
cost]]</f>
        <v>0</v>
      </c>
    </row>
    <row r="19" spans="2:12">
      <c r="B19" s="18" t="s">
        <v>18</v>
      </c>
      <c r="C19" s="17"/>
      <c r="D19" s="17"/>
      <c r="E19" s="58"/>
      <c r="F19" s="17">
        <f>Transportation101114127140153166179192205218[[#This Row],[Budgeted
cost]]-Transportation101114127140153166179192205218[[#This Row],[Actual
cost]]</f>
        <v>0</v>
      </c>
      <c r="G19" s="13"/>
      <c r="H19" s="18" t="s">
        <v>59</v>
      </c>
      <c r="I19" s="17"/>
      <c r="J19" s="17"/>
      <c r="K19" s="58"/>
      <c r="L19" s="17">
        <f>PersonalCare96109122135148161174187200213[[#This Row],[Budgeted
cost]]-PersonalCare96109122135148161174187200213[[#This Row],[Actual
cost]]</f>
        <v>0</v>
      </c>
    </row>
    <row r="20" spans="2:12">
      <c r="B20" s="18" t="s">
        <v>60</v>
      </c>
      <c r="C20" s="17"/>
      <c r="D20" s="17"/>
      <c r="E20" s="58"/>
      <c r="F20" s="17">
        <f>Transportation101114127140153166179192205218[[#This Row],[Budgeted
cost]]-Transportation101114127140153166179192205218[[#This Row],[Actual
cost]]</f>
        <v>0</v>
      </c>
      <c r="G20" s="13"/>
      <c r="H20" s="18" t="s">
        <v>61</v>
      </c>
      <c r="I20" s="17"/>
      <c r="J20" s="17"/>
      <c r="K20" s="58"/>
      <c r="L20" s="17">
        <f>PersonalCare96109122135148161174187200213[[#This Row],[Budgeted
cost]]-PersonalCare96109122135148161174187200213[[#This Row],[Actual
cost]]</f>
        <v>0</v>
      </c>
    </row>
    <row r="21" spans="2:12">
      <c r="B21" s="18" t="s">
        <v>62</v>
      </c>
      <c r="C21" s="17"/>
      <c r="D21" s="17"/>
      <c r="E21" s="58"/>
      <c r="F21" s="17">
        <f>Transportation101114127140153166179192205218[[#This Row],[Budgeted
cost]]-Transportation101114127140153166179192205218[[#This Row],[Actual
cost]]</f>
        <v>0</v>
      </c>
      <c r="G21" s="13"/>
      <c r="H21" s="18" t="s">
        <v>63</v>
      </c>
      <c r="I21" s="17"/>
      <c r="J21" s="17"/>
      <c r="K21" s="58"/>
      <c r="L21" s="17">
        <f>PersonalCare96109122135148161174187200213[[#This Row],[Budgeted
cost]]-PersonalCare96109122135148161174187200213[[#This Row],[Actual
cost]]</f>
        <v>0</v>
      </c>
    </row>
    <row r="22" spans="2:12">
      <c r="B22" s="18" t="s">
        <v>64</v>
      </c>
      <c r="C22" s="17"/>
      <c r="D22" s="17"/>
      <c r="E22" s="58"/>
      <c r="F22" s="17">
        <f>Transportation101114127140153166179192205218[[#This Row],[Budgeted
cost]]-Transportation101114127140153166179192205218[[#This Row],[Actual
cost]]</f>
        <v>0</v>
      </c>
      <c r="G22" s="13"/>
      <c r="H22" s="18" t="s">
        <v>49</v>
      </c>
      <c r="I22" s="17"/>
      <c r="J22" s="17"/>
      <c r="K22" s="58"/>
      <c r="L22" s="17">
        <f>PersonalCare96109122135148161174187200213[[#This Row],[Budgeted
cost]]-PersonalCare96109122135148161174187200213[[#This Row],[Actual
cost]]</f>
        <v>0</v>
      </c>
    </row>
    <row r="23" spans="2:12">
      <c r="B23" s="18" t="s">
        <v>49</v>
      </c>
      <c r="C23" s="17"/>
      <c r="D23" s="17"/>
      <c r="E23" s="58"/>
      <c r="F23" s="17">
        <f>Transportation101114127140153166179192205218[[#This Row],[Budgeted
cost]]-Transportation101114127140153166179192205218[[#This Row],[Actual
cost]]</f>
        <v>0</v>
      </c>
      <c r="G23" s="13"/>
      <c r="H23" s="18" t="s">
        <v>49</v>
      </c>
      <c r="I23" s="17"/>
      <c r="J23" s="17"/>
      <c r="K23" s="58"/>
      <c r="L23" s="17">
        <f>PersonalCare96109122135148161174187200213[[#This Row],[Budgeted
cost]]-PersonalCare96109122135148161174187200213[[#This Row],[Actual
cost]]</f>
        <v>0</v>
      </c>
    </row>
    <row r="24" spans="2:12">
      <c r="B24" s="18" t="s">
        <v>49</v>
      </c>
      <c r="C24" s="17"/>
      <c r="D24" s="17"/>
      <c r="E24" s="58"/>
      <c r="F24" s="17">
        <f>Transportation101114127140153166179192205218[[#This Row],[Budgeted
cost]]-Transportation101114127140153166179192205218[[#This Row],[Actual
cost]]</f>
        <v>0</v>
      </c>
      <c r="G24" s="13"/>
      <c r="H24" s="18" t="s">
        <v>31</v>
      </c>
      <c r="I24" s="19">
        <f>SUBTOTAL(109,PersonalCare96109122135148161174187200213[Budgeted
cost])</f>
        <v>0</v>
      </c>
      <c r="J24" s="19">
        <f>SUBTOTAL(109,PersonalCare96109122135148161174187200213[Actual
cost])</f>
        <v>0</v>
      </c>
      <c r="K24" s="61"/>
      <c r="L24" s="19">
        <f>SUBTOTAL(109,PersonalCare96109122135148161174187200213[Difference])</f>
        <v>0</v>
      </c>
    </row>
    <row r="25" spans="2:12">
      <c r="B25" s="18" t="s">
        <v>31</v>
      </c>
      <c r="C25" s="19">
        <f>SUBTOTAL(109,Transportation101114127140153166179192205218[Budgeted
cost])</f>
        <v>0</v>
      </c>
      <c r="D25" s="19">
        <f>SUBTOTAL(109,Transportation101114127140153166179192205218[Actual
cost])</f>
        <v>0</v>
      </c>
      <c r="E25" s="61"/>
      <c r="F25" s="19">
        <f>SUBTOTAL(109,Transportation101114127140153166179192205218[Difference])</f>
        <v>0</v>
      </c>
      <c r="G25" s="13"/>
    </row>
    <row r="26" spans="2:12" ht="17.45">
      <c r="B26" s="7"/>
      <c r="C26" s="6"/>
      <c r="D26" s="6"/>
      <c r="E26" s="62"/>
      <c r="F26" s="13"/>
    </row>
    <row r="27" spans="2:12" ht="27.6">
      <c r="B27" s="22" t="s">
        <v>18</v>
      </c>
      <c r="C27" s="21" t="s">
        <v>9</v>
      </c>
      <c r="D27" s="21" t="s">
        <v>10</v>
      </c>
      <c r="E27" s="63" t="s">
        <v>37</v>
      </c>
      <c r="F27" s="21" t="s">
        <v>11</v>
      </c>
      <c r="G27" s="13"/>
      <c r="H27" s="22" t="s">
        <v>27</v>
      </c>
      <c r="I27" s="21" t="s">
        <v>9</v>
      </c>
      <c r="J27" s="23" t="s">
        <v>10</v>
      </c>
      <c r="K27" s="63" t="s">
        <v>37</v>
      </c>
      <c r="L27" s="21" t="s">
        <v>11</v>
      </c>
    </row>
    <row r="28" spans="2:12">
      <c r="B28" s="18" t="s">
        <v>65</v>
      </c>
      <c r="C28" s="17"/>
      <c r="D28" s="17"/>
      <c r="E28" s="58"/>
      <c r="F28" s="17">
        <f>Insurance100113126139152165178191204217[[#This Row],[Budgeted
cost]]-Insurance100113126139152165178191204217[[#This Row],[Actual
cost]]</f>
        <v>0</v>
      </c>
      <c r="G28" s="13"/>
      <c r="H28" s="18" t="s">
        <v>20</v>
      </c>
      <c r="I28" s="17"/>
      <c r="J28" s="17"/>
      <c r="K28" s="58"/>
      <c r="L28" s="17">
        <f>Pets97110123136149162175188201214[[#This Row],[Budgeted
cost]]-Pets97110123136149162175188201214[[#This Row],[Actual
cost]]</f>
        <v>0</v>
      </c>
    </row>
    <row r="29" spans="2:12">
      <c r="B29" s="18" t="s">
        <v>66</v>
      </c>
      <c r="C29" s="17"/>
      <c r="D29" s="17"/>
      <c r="E29" s="58"/>
      <c r="F29" s="17">
        <f>Insurance100113126139152165178191204217[[#This Row],[Budgeted
cost]]-Insurance100113126139152165178191204217[[#This Row],[Actual
cost]]</f>
        <v>0</v>
      </c>
      <c r="G29" s="13"/>
      <c r="H29" s="18" t="s">
        <v>54</v>
      </c>
      <c r="I29" s="17"/>
      <c r="J29" s="17"/>
      <c r="K29" s="58"/>
      <c r="L29" s="17">
        <f>Pets97110123136149162175188201214[[#This Row],[Budgeted
cost]]-Pets97110123136149162175188201214[[#This Row],[Actual
cost]]</f>
        <v>0</v>
      </c>
    </row>
    <row r="30" spans="2:12">
      <c r="B30" s="18" t="s">
        <v>67</v>
      </c>
      <c r="C30" s="17"/>
      <c r="D30" s="17"/>
      <c r="E30" s="58"/>
      <c r="F30" s="17">
        <f>Insurance100113126139152165178191204217[[#This Row],[Budgeted
cost]]-Insurance100113126139152165178191204217[[#This Row],[Actual
cost]]</f>
        <v>0</v>
      </c>
      <c r="G30" s="13"/>
      <c r="H30" s="18" t="s">
        <v>68</v>
      </c>
      <c r="I30" s="17"/>
      <c r="J30" s="17"/>
      <c r="K30" s="58"/>
      <c r="L30" s="17">
        <f>Pets97110123136149162175188201214[[#This Row],[Budgeted
cost]]-Pets97110123136149162175188201214[[#This Row],[Actual
cost]]</f>
        <v>0</v>
      </c>
    </row>
    <row r="31" spans="2:12">
      <c r="B31" s="18" t="s">
        <v>49</v>
      </c>
      <c r="C31" s="17"/>
      <c r="D31" s="17"/>
      <c r="E31" s="58"/>
      <c r="F31" s="17">
        <f>Insurance100113126139152165178191204217[[#This Row],[Budgeted
cost]]-Insurance100113126139152165178191204217[[#This Row],[Actual
cost]]</f>
        <v>0</v>
      </c>
      <c r="G31" s="13"/>
      <c r="H31" s="18" t="s">
        <v>69</v>
      </c>
      <c r="I31" s="17"/>
      <c r="J31" s="17"/>
      <c r="K31" s="58"/>
      <c r="L31" s="17">
        <f>Pets97110123136149162175188201214[[#This Row],[Budgeted
cost]]-Pets97110123136149162175188201214[[#This Row],[Actual
cost]]</f>
        <v>0</v>
      </c>
    </row>
    <row r="32" spans="2:12">
      <c r="B32" s="18" t="s">
        <v>49</v>
      </c>
      <c r="C32" s="17"/>
      <c r="D32" s="17"/>
      <c r="E32" s="58"/>
      <c r="F32" s="17">
        <f>Insurance100113126139152165178191204217[[#This Row],[Budgeted
cost]]-Insurance100113126139152165178191204217[[#This Row],[Actual
cost]]</f>
        <v>0</v>
      </c>
      <c r="G32" s="13"/>
      <c r="H32" s="18" t="s">
        <v>49</v>
      </c>
      <c r="I32" s="17"/>
      <c r="J32" s="17"/>
      <c r="K32" s="58"/>
      <c r="L32" s="17">
        <f>Pets97110123136149162175188201214[[#This Row],[Budgeted
cost]]-Pets97110123136149162175188201214[[#This Row],[Actual
cost]]</f>
        <v>0</v>
      </c>
    </row>
    <row r="33" spans="2:12">
      <c r="B33" s="18" t="s">
        <v>31</v>
      </c>
      <c r="C33" s="19">
        <f>SUBTOTAL(109,Insurance100113126139152165178191204217[Budgeted
cost])</f>
        <v>0</v>
      </c>
      <c r="D33" s="19">
        <f>SUBTOTAL(109,Insurance100113126139152165178191204217[Actual
cost])</f>
        <v>0</v>
      </c>
      <c r="E33" s="61"/>
      <c r="F33" s="19">
        <f>SUBTOTAL(109,Insurance100113126139152165178191204217[Difference])</f>
        <v>0</v>
      </c>
      <c r="G33" s="13"/>
      <c r="H33" s="18" t="s">
        <v>31</v>
      </c>
      <c r="I33" s="19">
        <f>SUBTOTAL(109,Pets97110123136149162175188201214[Budgeted
cost])</f>
        <v>0</v>
      </c>
      <c r="J33" s="19">
        <f>SUBTOTAL(109,Pets97110123136149162175188201214[Actual
cost])</f>
        <v>0</v>
      </c>
      <c r="K33" s="64"/>
      <c r="L33" s="19">
        <f>SUBTOTAL(109,Pets97110123136149162175188201214[Difference])</f>
        <v>0</v>
      </c>
    </row>
    <row r="34" spans="2:12" ht="17.45">
      <c r="B34" s="7"/>
      <c r="C34" s="6"/>
      <c r="D34" s="6"/>
      <c r="E34" s="62"/>
      <c r="F34" s="13"/>
    </row>
    <row r="35" spans="2:12" ht="27.6">
      <c r="B35" s="22" t="s">
        <v>20</v>
      </c>
      <c r="C35" s="57" t="s">
        <v>9</v>
      </c>
      <c r="D35" s="21" t="s">
        <v>10</v>
      </c>
      <c r="E35" s="63" t="s">
        <v>37</v>
      </c>
      <c r="F35" s="21" t="s">
        <v>11</v>
      </c>
      <c r="H35" s="22" t="s">
        <v>21</v>
      </c>
      <c r="I35" s="21" t="s">
        <v>70</v>
      </c>
      <c r="J35" s="23" t="s">
        <v>71</v>
      </c>
      <c r="K35" s="63" t="s">
        <v>37</v>
      </c>
      <c r="L35" s="21" t="s">
        <v>11</v>
      </c>
    </row>
    <row r="36" spans="2:12">
      <c r="B36" s="18" t="s">
        <v>72</v>
      </c>
      <c r="C36" s="17"/>
      <c r="D36" s="17"/>
      <c r="E36" s="58"/>
      <c r="F36" s="17">
        <f>Food99112125138151164177190203216[[#This Row],[Budgeted
cost]]-Food99112125138151164177190203216[[#This Row],[Actual
cost]]</f>
        <v>0</v>
      </c>
      <c r="H36" s="18" t="s">
        <v>73</v>
      </c>
      <c r="I36" s="17"/>
      <c r="J36" s="17"/>
      <c r="K36" s="58"/>
      <c r="L36" s="17">
        <f>Taxes93106119132145158171184197210[[#This Row],[Budgeted 
cost]]-Taxes93106119132145158171184197210[[#This Row],[Actual 
cost]]</f>
        <v>0</v>
      </c>
    </row>
    <row r="37" spans="2:12">
      <c r="B37" s="18" t="s">
        <v>74</v>
      </c>
      <c r="C37" s="17"/>
      <c r="D37" s="17"/>
      <c r="E37" s="58"/>
      <c r="F37" s="17">
        <f>Food99112125138151164177190203216[[#This Row],[Budgeted
cost]]-Food99112125138151164177190203216[[#This Row],[Actual
cost]]</f>
        <v>0</v>
      </c>
      <c r="G37" s="13"/>
      <c r="H37" s="18" t="s">
        <v>75</v>
      </c>
      <c r="I37" s="17"/>
      <c r="J37" s="17"/>
      <c r="K37" s="58"/>
      <c r="L37" s="17">
        <f>Taxes93106119132145158171184197210[[#This Row],[Budgeted 
cost]]-Taxes93106119132145158171184197210[[#This Row],[Actual 
cost]]</f>
        <v>0</v>
      </c>
    </row>
    <row r="38" spans="2:12">
      <c r="B38" s="18" t="s">
        <v>76</v>
      </c>
      <c r="C38" s="17"/>
      <c r="D38" s="17"/>
      <c r="E38" s="58"/>
      <c r="F38" s="17">
        <f>Food99112125138151164177190203216[[#This Row],[Budgeted
cost]]-Food99112125138151164177190203216[[#This Row],[Actual
cost]]</f>
        <v>0</v>
      </c>
      <c r="G38" s="13"/>
      <c r="H38" s="18" t="s">
        <v>49</v>
      </c>
      <c r="I38" s="17"/>
      <c r="J38" s="17"/>
      <c r="K38" s="58"/>
      <c r="L38" s="17">
        <f>Taxes93106119132145158171184197210[[#This Row],[Budgeted 
cost]]-Taxes93106119132145158171184197210[[#This Row],[Actual 
cost]]</f>
        <v>0</v>
      </c>
    </row>
    <row r="39" spans="2:12">
      <c r="B39" s="18" t="s">
        <v>49</v>
      </c>
      <c r="C39" s="17"/>
      <c r="D39" s="17"/>
      <c r="E39" s="58"/>
      <c r="F39" s="17">
        <f>Food99112125138151164177190203216[[#This Row],[Budgeted
cost]]-Food99112125138151164177190203216[[#This Row],[Actual
cost]]</f>
        <v>0</v>
      </c>
      <c r="G39" s="13"/>
      <c r="H39" s="18" t="s">
        <v>49</v>
      </c>
      <c r="I39" s="17"/>
      <c r="J39" s="17"/>
      <c r="K39" s="58"/>
      <c r="L39" s="17">
        <f>Taxes93106119132145158171184197210[[#This Row],[Budgeted 
cost]]-Taxes93106119132145158171184197210[[#This Row],[Actual 
cost]]</f>
        <v>0</v>
      </c>
    </row>
    <row r="40" spans="2:12">
      <c r="B40" s="18" t="s">
        <v>49</v>
      </c>
      <c r="C40" s="17"/>
      <c r="D40" s="17"/>
      <c r="E40" s="58"/>
      <c r="F40" s="17">
        <f>Food99112125138151164177190203216[[#This Row],[Budgeted
cost]]-Food99112125138151164177190203216[[#This Row],[Actual
cost]]</f>
        <v>0</v>
      </c>
      <c r="G40" s="13"/>
      <c r="H40" s="18" t="s">
        <v>31</v>
      </c>
      <c r="I40" s="19">
        <f>SUBTOTAL(109,Taxes93106119132145158171184197210[Budgeted 
cost])</f>
        <v>0</v>
      </c>
      <c r="J40" s="19">
        <f>SUBTOTAL(109,Taxes93106119132145158171184197210[Actual 
cost])</f>
        <v>0</v>
      </c>
      <c r="K40" s="61"/>
      <c r="L40" s="19">
        <f>SUBTOTAL(109,Taxes93106119132145158171184197210[Difference])</f>
        <v>0</v>
      </c>
    </row>
    <row r="41" spans="2:12" ht="15">
      <c r="B41" s="18" t="s">
        <v>31</v>
      </c>
      <c r="C41" s="19">
        <f>SUBTOTAL(109,Food99112125138151164177190203216[Budgeted
cost])</f>
        <v>0</v>
      </c>
      <c r="D41" s="19">
        <f>SUBTOTAL(109,Food99112125138151164177190203216[Actual
cost])</f>
        <v>0</v>
      </c>
      <c r="E41" s="61"/>
      <c r="F41" s="19">
        <f>SUBTOTAL(109,Food99112125138151164177190203216[Difference])</f>
        <v>0</v>
      </c>
      <c r="G41" s="13"/>
      <c r="H41" s="3"/>
      <c r="I41" s="4"/>
      <c r="J41" s="4"/>
      <c r="K41" s="65"/>
    </row>
    <row r="42" spans="2:12" ht="24.6">
      <c r="B42" s="5"/>
      <c r="C42" s="6"/>
      <c r="D42" s="6"/>
      <c r="E42" s="62"/>
      <c r="F42" s="13"/>
      <c r="G42" s="13"/>
      <c r="I42" s="20"/>
      <c r="J42" s="20"/>
      <c r="K42" s="59"/>
    </row>
    <row r="43" spans="2:12" ht="27.6">
      <c r="B43" s="22" t="s">
        <v>22</v>
      </c>
      <c r="C43" s="21" t="s">
        <v>9</v>
      </c>
      <c r="D43" s="21" t="s">
        <v>10</v>
      </c>
      <c r="E43" s="63" t="s">
        <v>37</v>
      </c>
      <c r="F43" s="21" t="s">
        <v>11</v>
      </c>
      <c r="G43" s="13"/>
      <c r="H43" s="22" t="s">
        <v>16</v>
      </c>
      <c r="I43" s="21" t="s">
        <v>9</v>
      </c>
      <c r="J43" s="23" t="s">
        <v>10</v>
      </c>
      <c r="K43" s="63" t="s">
        <v>37</v>
      </c>
      <c r="L43" s="21" t="s">
        <v>11</v>
      </c>
    </row>
    <row r="44" spans="2:12">
      <c r="B44" s="18" t="s">
        <v>54</v>
      </c>
      <c r="C44" s="17"/>
      <c r="D44" s="17"/>
      <c r="E44" s="58"/>
      <c r="F44" s="17">
        <f>Children98111124137150163176189202215[[#This Row],[Budgeted
cost]]-Children98111124137150163176189202215[[#This Row],[Actual
cost]]</f>
        <v>0</v>
      </c>
      <c r="H44" s="18" t="s">
        <v>77</v>
      </c>
      <c r="I44" s="17"/>
      <c r="J44" s="17"/>
      <c r="K44" s="58"/>
      <c r="L44" s="17">
        <f>Loans94107120133146159172185198211[[#This Row],[Budgeted
cost]]-Loans94107120133146159172185198211[[#This Row],[Actual
cost]]</f>
        <v>0</v>
      </c>
    </row>
    <row r="45" spans="2:12">
      <c r="B45" s="18" t="s">
        <v>58</v>
      </c>
      <c r="C45" s="17"/>
      <c r="D45" s="17"/>
      <c r="E45" s="58"/>
      <c r="F45" s="17">
        <f>Children98111124137150163176189202215[[#This Row],[Budgeted
cost]]-Children98111124137150163176189202215[[#This Row],[Actual
cost]]</f>
        <v>0</v>
      </c>
      <c r="G45" s="13"/>
      <c r="H45" s="18" t="s">
        <v>78</v>
      </c>
      <c r="I45" s="17"/>
      <c r="J45" s="17"/>
      <c r="K45" s="58"/>
      <c r="L45" s="17">
        <f>Loans94107120133146159172185198211[[#This Row],[Budgeted
cost]]-Loans94107120133146159172185198211[[#This Row],[Actual
cost]]</f>
        <v>0</v>
      </c>
    </row>
    <row r="46" spans="2:12">
      <c r="B46" s="18" t="s">
        <v>79</v>
      </c>
      <c r="C46" s="17"/>
      <c r="D46" s="17"/>
      <c r="E46" s="58"/>
      <c r="F46" s="17">
        <f>Children98111124137150163176189202215[[#This Row],[Budgeted
cost]]-Children98111124137150163176189202215[[#This Row],[Actual
cost]]</f>
        <v>0</v>
      </c>
      <c r="G46" s="13"/>
      <c r="H46" s="18" t="s">
        <v>80</v>
      </c>
      <c r="I46" s="17"/>
      <c r="J46" s="17"/>
      <c r="K46" s="58"/>
      <c r="L46" s="17">
        <f>Loans94107120133146159172185198211[[#This Row],[Budgeted
cost]]-Loans94107120133146159172185198211[[#This Row],[Actual
cost]]</f>
        <v>0</v>
      </c>
    </row>
    <row r="47" spans="2:12">
      <c r="B47" s="18" t="s">
        <v>81</v>
      </c>
      <c r="C47" s="17"/>
      <c r="D47" s="17"/>
      <c r="E47" s="58"/>
      <c r="F47" s="17">
        <f>Children98111124137150163176189202215[[#This Row],[Budgeted
cost]]-Children98111124137150163176189202215[[#This Row],[Actual
cost]]</f>
        <v>0</v>
      </c>
      <c r="G47" s="13"/>
      <c r="H47" s="18" t="s">
        <v>80</v>
      </c>
      <c r="I47" s="17"/>
      <c r="J47" s="17"/>
      <c r="K47" s="58"/>
      <c r="L47" s="17">
        <f>Loans94107120133146159172185198211[[#This Row],[Budgeted
cost]]-Loans94107120133146159172185198211[[#This Row],[Actual
cost]]</f>
        <v>0</v>
      </c>
    </row>
    <row r="48" spans="2:12">
      <c r="B48" s="18" t="s">
        <v>63</v>
      </c>
      <c r="C48" s="17"/>
      <c r="D48" s="17"/>
      <c r="E48" s="58"/>
      <c r="F48" s="17">
        <f>Children98111124137150163176189202215[[#This Row],[Budgeted
cost]]-Children98111124137150163176189202215[[#This Row],[Actual
cost]]</f>
        <v>0</v>
      </c>
      <c r="G48" s="13"/>
      <c r="H48" s="18" t="s">
        <v>80</v>
      </c>
      <c r="I48" s="17"/>
      <c r="J48" s="17"/>
      <c r="K48" s="58"/>
      <c r="L48" s="17">
        <f>Loans94107120133146159172185198211[[#This Row],[Budgeted
cost]]-Loans94107120133146159172185198211[[#This Row],[Actual
cost]]</f>
        <v>0</v>
      </c>
    </row>
    <row r="49" spans="2:12">
      <c r="B49" s="18" t="s">
        <v>82</v>
      </c>
      <c r="C49" s="17"/>
      <c r="D49" s="17"/>
      <c r="E49" s="58"/>
      <c r="F49" s="17">
        <f>Children98111124137150163176189202215[[#This Row],[Budgeted
cost]]-Children98111124137150163176189202215[[#This Row],[Actual
cost]]</f>
        <v>0</v>
      </c>
      <c r="G49" s="13"/>
      <c r="H49" s="18" t="s">
        <v>49</v>
      </c>
      <c r="I49" s="17"/>
      <c r="J49" s="17"/>
      <c r="K49" s="58"/>
      <c r="L49" s="17">
        <f>Loans94107120133146159172185198211[[#This Row],[Budgeted
cost]]-Loans94107120133146159172185198211[[#This Row],[Actual
cost]]</f>
        <v>0</v>
      </c>
    </row>
    <row r="50" spans="2:12">
      <c r="B50" s="18" t="s">
        <v>83</v>
      </c>
      <c r="C50" s="17"/>
      <c r="D50" s="17"/>
      <c r="E50" s="58"/>
      <c r="F50" s="17">
        <f>Children98111124137150163176189202215[[#This Row],[Budgeted
cost]]-Children98111124137150163176189202215[[#This Row],[Actual
cost]]</f>
        <v>0</v>
      </c>
      <c r="G50" s="13"/>
      <c r="H50" s="18" t="s">
        <v>49</v>
      </c>
      <c r="I50" s="17"/>
      <c r="J50" s="17"/>
      <c r="K50" s="58"/>
      <c r="L50" s="17">
        <f>Loans94107120133146159172185198211[[#This Row],[Budgeted
cost]]-Loans94107120133146159172185198211[[#This Row],[Actual
cost]]</f>
        <v>0</v>
      </c>
    </row>
    <row r="51" spans="2:12">
      <c r="B51" s="18" t="s">
        <v>84</v>
      </c>
      <c r="C51" s="17"/>
      <c r="D51" s="17"/>
      <c r="E51" s="58"/>
      <c r="F51" s="17">
        <f>Children98111124137150163176189202215[[#This Row],[Budgeted
cost]]-Children98111124137150163176189202215[[#This Row],[Actual
cost]]</f>
        <v>0</v>
      </c>
      <c r="G51" s="13"/>
      <c r="H51" s="18" t="s">
        <v>31</v>
      </c>
      <c r="I51" s="19">
        <f>SUBTOTAL(109,Loans94107120133146159172185198211[Budgeted
cost])</f>
        <v>0</v>
      </c>
      <c r="J51" s="19">
        <f>SUBTOTAL(109,Loans94107120133146159172185198211[Actual
cost])</f>
        <v>0</v>
      </c>
      <c r="K51" s="61"/>
      <c r="L51" s="19">
        <f>SUBTOTAL(109,Loans94107120133146159172185198211[Difference])</f>
        <v>0</v>
      </c>
    </row>
    <row r="52" spans="2:12">
      <c r="B52" s="18" t="s">
        <v>49</v>
      </c>
      <c r="C52" s="17"/>
      <c r="D52" s="17"/>
      <c r="E52" s="58"/>
      <c r="F52" s="17">
        <f>Children98111124137150163176189202215[[#This Row],[Budgeted
cost]]-Children98111124137150163176189202215[[#This Row],[Actual
cost]]</f>
        <v>0</v>
      </c>
      <c r="G52" s="13"/>
    </row>
    <row r="53" spans="2:12" ht="17.45">
      <c r="B53" s="18" t="s">
        <v>49</v>
      </c>
      <c r="C53" s="17"/>
      <c r="D53" s="17"/>
      <c r="E53" s="58"/>
      <c r="F53" s="17">
        <f>Children98111124137150163176189202215[[#This Row],[Budgeted
cost]]-Children98111124137150163176189202215[[#This Row],[Actual
cost]]</f>
        <v>0</v>
      </c>
      <c r="G53" s="13"/>
      <c r="H53" s="7"/>
      <c r="I53" s="6"/>
      <c r="J53" s="6"/>
      <c r="K53" s="62"/>
    </row>
    <row r="54" spans="2:12">
      <c r="B54" s="18" t="s">
        <v>31</v>
      </c>
      <c r="C54" s="19">
        <f>SUBTOTAL(109,Children98111124137150163176189202215[Budgeted
cost])</f>
        <v>0</v>
      </c>
      <c r="D54" s="19">
        <f>SUBTOTAL(109,Children98111124137150163176189202215[Actual
cost])</f>
        <v>0</v>
      </c>
      <c r="E54" s="61"/>
      <c r="F54" s="19">
        <f>SUBTOTAL(109,Children98111124137150163176189202215[Difference])</f>
        <v>0</v>
      </c>
      <c r="G54" s="13"/>
    </row>
    <row r="55" spans="2:12" ht="15">
      <c r="B55" s="5"/>
      <c r="C55" s="6"/>
      <c r="D55" s="6"/>
      <c r="E55" s="62"/>
      <c r="F55" s="13"/>
      <c r="G55" s="13"/>
    </row>
    <row r="56" spans="2:12" ht="27.6">
      <c r="B56" s="22" t="s">
        <v>25</v>
      </c>
      <c r="C56" s="21" t="s">
        <v>9</v>
      </c>
      <c r="D56" s="21" t="s">
        <v>10</v>
      </c>
      <c r="E56" s="63" t="s">
        <v>37</v>
      </c>
      <c r="F56" s="21" t="s">
        <v>11</v>
      </c>
      <c r="G56" s="14"/>
      <c r="H56" s="22" t="s">
        <v>30</v>
      </c>
      <c r="I56" s="21" t="s">
        <v>9</v>
      </c>
      <c r="J56" s="23" t="s">
        <v>10</v>
      </c>
      <c r="K56" s="63" t="s">
        <v>37</v>
      </c>
      <c r="L56" s="21" t="s">
        <v>11</v>
      </c>
    </row>
    <row r="57" spans="2:12">
      <c r="B57" s="18" t="s">
        <v>85</v>
      </c>
      <c r="C57" s="17"/>
      <c r="D57" s="17"/>
      <c r="E57" s="58"/>
      <c r="F57" s="17">
        <f>Legal90103116129142155168181194207[[#This Row],[Budgeted
cost]]-Legal90103116129142155168181194207[[#This Row],[Actual
cost]]</f>
        <v>0</v>
      </c>
      <c r="H57" s="18" t="s">
        <v>86</v>
      </c>
      <c r="I57" s="17"/>
      <c r="J57" s="17"/>
      <c r="K57" s="58"/>
      <c r="L57" s="17">
        <f>Gifts91104117130143156169182195208[[#This Row],[Budgeted
cost]]-Gifts91104117130143156169182195208[[#This Row],[Actual
cost]]</f>
        <v>0</v>
      </c>
    </row>
    <row r="58" spans="2:12">
      <c r="B58" s="18" t="s">
        <v>87</v>
      </c>
      <c r="C58" s="17"/>
      <c r="D58" s="17"/>
      <c r="E58" s="58"/>
      <c r="F58" s="17">
        <f>Legal90103116129142155168181194207[[#This Row],[Budgeted
cost]]-Legal90103116129142155168181194207[[#This Row],[Actual
cost]]</f>
        <v>0</v>
      </c>
      <c r="G58" s="13"/>
      <c r="H58" s="18" t="s">
        <v>88</v>
      </c>
      <c r="I58" s="17"/>
      <c r="J58" s="17"/>
      <c r="K58" s="58"/>
      <c r="L58" s="17">
        <f>Gifts91104117130143156169182195208[[#This Row],[Budgeted
cost]]-Gifts91104117130143156169182195208[[#This Row],[Actual
cost]]</f>
        <v>0</v>
      </c>
    </row>
    <row r="59" spans="2:12">
      <c r="B59" s="18" t="s">
        <v>89</v>
      </c>
      <c r="C59" s="17"/>
      <c r="D59" s="17"/>
      <c r="E59" s="58"/>
      <c r="F59" s="17">
        <f>Legal90103116129142155168181194207[[#This Row],[Budgeted
cost]]-Legal90103116129142155168181194207[[#This Row],[Actual
cost]]</f>
        <v>0</v>
      </c>
      <c r="G59" s="13"/>
      <c r="H59" s="18" t="s">
        <v>90</v>
      </c>
      <c r="I59" s="17"/>
      <c r="J59" s="17"/>
      <c r="K59" s="58"/>
      <c r="L59" s="17">
        <f>Gifts91104117130143156169182195208[[#This Row],[Budgeted
cost]]-Gifts91104117130143156169182195208[[#This Row],[Actual
cost]]</f>
        <v>0</v>
      </c>
    </row>
    <row r="60" spans="2:12">
      <c r="B60" s="18" t="s">
        <v>49</v>
      </c>
      <c r="C60" s="17"/>
      <c r="D60" s="17"/>
      <c r="E60" s="58"/>
      <c r="F60" s="17">
        <f>Legal90103116129142155168181194207[[#This Row],[Budgeted
cost]]-Legal90103116129142155168181194207[[#This Row],[Actual
cost]]</f>
        <v>0</v>
      </c>
      <c r="G60" s="13"/>
      <c r="H60" s="18" t="s">
        <v>31</v>
      </c>
      <c r="I60" s="19">
        <f>SUBTOTAL(109,Gifts91104117130143156169182195208[Budgeted
cost])</f>
        <v>0</v>
      </c>
      <c r="J60" s="19">
        <f>SUBTOTAL(109,Gifts91104117130143156169182195208[Actual
cost])</f>
        <v>0</v>
      </c>
      <c r="K60" s="64"/>
      <c r="L60" s="19">
        <f>SUBTOTAL(109,Gifts91104117130143156169182195208[Difference])</f>
        <v>0</v>
      </c>
    </row>
    <row r="61" spans="2:12">
      <c r="B61" s="18" t="s">
        <v>49</v>
      </c>
      <c r="C61" s="17"/>
      <c r="D61" s="17"/>
      <c r="E61" s="58"/>
      <c r="F61" s="17">
        <f>Legal90103116129142155168181194207[[#This Row],[Budgeted
cost]]-Legal90103116129142155168181194207[[#This Row],[Actual
cost]]</f>
        <v>0</v>
      </c>
      <c r="G61" s="13"/>
    </row>
    <row r="62" spans="2:12">
      <c r="B62" s="18" t="s">
        <v>31</v>
      </c>
      <c r="C62" s="19">
        <f>SUBTOTAL(109,Legal90103116129142155168181194207[Budgeted
cost])</f>
        <v>0</v>
      </c>
      <c r="D62" s="19">
        <f>SUBTOTAL(109,Legal90103116129142155168181194207[Actual
cost])</f>
        <v>0</v>
      </c>
      <c r="E62" s="61"/>
      <c r="F62" s="19">
        <f>SUBTOTAL(109,Legal90103116129142155168181194207[Difference])</f>
        <v>0</v>
      </c>
      <c r="G62" s="13"/>
    </row>
    <row r="63" spans="2:12" ht="24.6">
      <c r="E63" s="12"/>
      <c r="G63" s="15"/>
      <c r="I63" s="20"/>
      <c r="J63" s="20"/>
      <c r="K63" s="59"/>
    </row>
    <row r="64" spans="2:12" ht="27.6">
      <c r="B64" s="22" t="s">
        <v>19</v>
      </c>
      <c r="C64" s="21" t="s">
        <v>9</v>
      </c>
      <c r="D64" s="23" t="s">
        <v>10</v>
      </c>
      <c r="E64" s="63" t="s">
        <v>37</v>
      </c>
      <c r="F64" s="21" t="s">
        <v>11</v>
      </c>
      <c r="G64" s="14"/>
    </row>
    <row r="65" spans="2:10">
      <c r="B65" s="18" t="s">
        <v>91</v>
      </c>
      <c r="C65" s="17"/>
      <c r="D65" s="17"/>
      <c r="E65" s="58"/>
      <c r="F65" s="17">
        <f>Entertainment95108121134147160173186199212[[#This Row],[Budgeted
cost]]-Entertainment95108121134147160173186199212[[#This Row],[Actual
cost]]</f>
        <v>0</v>
      </c>
    </row>
    <row r="66" spans="2:10">
      <c r="B66" s="18" t="s">
        <v>92</v>
      </c>
      <c r="C66" s="17"/>
      <c r="D66" s="17"/>
      <c r="E66" s="58"/>
      <c r="F66" s="17">
        <f>Entertainment95108121134147160173186199212[[#This Row],[Budgeted
cost]]-Entertainment95108121134147160173186199212[[#This Row],[Actual
cost]]</f>
        <v>0</v>
      </c>
      <c r="G66" s="13"/>
    </row>
    <row r="67" spans="2:10">
      <c r="B67" s="18" t="s">
        <v>93</v>
      </c>
      <c r="C67" s="17"/>
      <c r="D67" s="17"/>
      <c r="E67" s="58"/>
      <c r="F67" s="17">
        <f>Entertainment95108121134147160173186199212[[#This Row],[Budgeted
cost]]-Entertainment95108121134147160173186199212[[#This Row],[Actual
cost]]</f>
        <v>0</v>
      </c>
      <c r="G67" s="13"/>
    </row>
    <row r="68" spans="2:10">
      <c r="B68" s="18" t="s">
        <v>94</v>
      </c>
      <c r="C68" s="17"/>
      <c r="D68" s="17"/>
      <c r="E68" s="58"/>
      <c r="F68" s="17">
        <f>Entertainment95108121134147160173186199212[[#This Row],[Budgeted
cost]]-Entertainment95108121134147160173186199212[[#This Row],[Actual
cost]]</f>
        <v>0</v>
      </c>
    </row>
    <row r="69" spans="2:10">
      <c r="B69" s="18" t="s">
        <v>95</v>
      </c>
      <c r="C69" s="17"/>
      <c r="D69" s="17"/>
      <c r="E69" s="58"/>
      <c r="F69" s="17">
        <f>Entertainment95108121134147160173186199212[[#This Row],[Budgeted
cost]]-Entertainment95108121134147160173186199212[[#This Row],[Actual
cost]]</f>
        <v>0</v>
      </c>
    </row>
    <row r="70" spans="2:10">
      <c r="B70" s="18" t="s">
        <v>96</v>
      </c>
      <c r="C70" s="17"/>
      <c r="D70" s="17"/>
      <c r="E70" s="58"/>
      <c r="F70" s="17">
        <f>Entertainment95108121134147160173186199212[[#This Row],[Budgeted
cost]]-Entertainment95108121134147160173186199212[[#This Row],[Actual
cost]]</f>
        <v>0</v>
      </c>
    </row>
    <row r="71" spans="2:10">
      <c r="B71" s="18" t="s">
        <v>49</v>
      </c>
      <c r="C71" s="17"/>
      <c r="D71" s="17"/>
      <c r="E71" s="58"/>
      <c r="F71" s="17">
        <f>Entertainment95108121134147160173186199212[[#This Row],[Budgeted
cost]]-Entertainment95108121134147160173186199212[[#This Row],[Actual
cost]]</f>
        <v>0</v>
      </c>
    </row>
    <row r="72" spans="2:10">
      <c r="B72" s="18" t="s">
        <v>31</v>
      </c>
      <c r="C72" s="19">
        <f>SUBTOTAL(109,Entertainment95108121134147160173186199212[Budgeted
cost])</f>
        <v>0</v>
      </c>
      <c r="D72" s="19">
        <f>SUBTOTAL(109,Entertainment95108121134147160173186199212[Actual
cost])</f>
        <v>0</v>
      </c>
      <c r="E72" s="64"/>
      <c r="F72" s="19">
        <f>SUBTOTAL(109,Entertainment95108121134147160173186199212[Difference])</f>
        <v>0</v>
      </c>
      <c r="J72" s="16"/>
    </row>
    <row r="73" spans="2:10">
      <c r="E73" s="12"/>
    </row>
    <row r="74" spans="2:10">
      <c r="E74" s="12"/>
    </row>
  </sheetData>
  <conditionalFormatting sqref="B1:B14 F1:F14 G1:G25 H3:L10 H16:L24 B16:F26 G27:G33 H28:L33 B28:F34 H36:L40 B36:F42 G37:G43 H41:K41 H44:L51 B44:F55 G45:G56 H53:K53 H57:L60 B57:F62 G58:G64 B65:F72 G66:G67">
    <cfRule type="cellIs" dxfId="209" priority="3" operator="lessThan">
      <formula>0</formula>
    </cfRule>
  </conditionalFormatting>
  <conditionalFormatting sqref="B3:F13">
    <cfRule type="cellIs" dxfId="208" priority="2" operator="lessThan">
      <formula>0</formula>
    </cfRule>
  </conditionalFormatting>
  <conditionalFormatting sqref="F3:F12">
    <cfRule type="iconSet" priority="1">
      <iconSet iconSet="3Arrows">
        <cfvo type="percentile" val="0"/>
        <cfvo type="num" val="-50"/>
        <cfvo type="num" val="50"/>
      </iconSet>
    </cfRule>
  </conditionalFormatting>
  <conditionalFormatting sqref="L28:L32 L57:L59 F65:F71 L36:L39 F16:F24 L44:L50 F28:F32 F36:F40 F44:F53 L16:L23 F57:F61 L3:L9">
    <cfRule type="iconSet" priority="4">
      <iconSet iconSet="3Arrows">
        <cfvo type="percentile" val="0"/>
        <cfvo type="num" val="-50"/>
        <cfvo type="num" val="50"/>
      </iconSet>
    </cfRule>
  </conditionalFormatting>
  <dataValidations count="1">
    <dataValidation allowBlank="1" showInputMessage="1" showErrorMessage="1" prompt="Enter details in Transportation table below and in Insurance table starting in cell B30" sqref="G1:G14 B1:B12 B14" xr:uid="{224874A2-7B9E-4CDF-9511-3727A0528262}"/>
  </dataValidations>
  <pageMargins left="0.7" right="0.7" top="0.75" bottom="0.75" header="0.3" footer="0.3"/>
  <pageSetup orientation="landscape" horizontalDpi="1200" verticalDpi="1200" r:id="rId1"/>
  <headerFooter>
    <oddFooter>&amp;C&amp;P&amp;R&amp;G</oddFooter>
  </headerFooter>
  <legacyDrawingHF r:id="rId2"/>
  <tableParts count="13">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3FEC-463B-4EDC-B1EA-2DCBFAA315F6}">
  <sheetPr>
    <tabColor theme="4"/>
  </sheetPr>
  <dimension ref="B1:J61"/>
  <sheetViews>
    <sheetView zoomScale="70" zoomScaleNormal="70" zoomScalePageLayoutView="70" workbookViewId="0">
      <selection activeCell="C3" sqref="C3:D3"/>
    </sheetView>
  </sheetViews>
  <sheetFormatPr defaultColWidth="9" defaultRowHeight="30" customHeight="1"/>
  <cols>
    <col min="1" max="1" width="1.25" customWidth="1"/>
    <col min="2" max="6" width="24.625" customWidth="1"/>
    <col min="7" max="7" width="7.75" customWidth="1"/>
    <col min="8" max="8" width="32.875" customWidth="1"/>
    <col min="9" max="9" width="32.875" style="2" customWidth="1"/>
    <col min="10" max="10" width="2.375" customWidth="1"/>
  </cols>
  <sheetData>
    <row r="1" spans="2:10" ht="77.25" customHeight="1">
      <c r="B1" s="113" t="s">
        <v>107</v>
      </c>
      <c r="C1" s="113"/>
      <c r="D1" s="113"/>
      <c r="E1" s="113"/>
      <c r="F1" s="113"/>
      <c r="G1" s="113"/>
      <c r="H1" s="113"/>
      <c r="I1" s="26"/>
      <c r="J1" s="27"/>
    </row>
    <row r="2" spans="2:10" ht="35.450000000000003">
      <c r="B2" s="54" t="s">
        <v>1</v>
      </c>
      <c r="C2" s="24" t="s">
        <v>2</v>
      </c>
      <c r="D2" s="55" t="s">
        <v>3</v>
      </c>
      <c r="E2" s="25" t="s">
        <v>4</v>
      </c>
      <c r="F2" s="1"/>
      <c r="H2" s="36"/>
      <c r="I2" s="26"/>
      <c r="J2" s="29"/>
    </row>
    <row r="3" spans="2:10" ht="35.450000000000003">
      <c r="B3" s="11"/>
      <c r="C3" s="76">
        <f>C19</f>
        <v>0</v>
      </c>
      <c r="D3" s="76">
        <f>D19</f>
        <v>0</v>
      </c>
      <c r="E3" s="78">
        <f>SUM(C3-D3)</f>
        <v>0</v>
      </c>
      <c r="F3" s="1"/>
      <c r="H3" s="36"/>
      <c r="I3" s="26"/>
      <c r="J3" s="29"/>
    </row>
    <row r="4" spans="2:10" ht="35.450000000000003">
      <c r="C4" s="33"/>
      <c r="D4" s="33"/>
      <c r="E4" s="33"/>
      <c r="F4" s="10"/>
      <c r="H4" s="36"/>
      <c r="I4" s="26"/>
      <c r="J4" s="29"/>
    </row>
    <row r="5" spans="2:10" ht="27.6">
      <c r="B5" s="79" t="s">
        <v>8</v>
      </c>
      <c r="C5" s="80" t="s">
        <v>9</v>
      </c>
      <c r="D5" s="80" t="s">
        <v>10</v>
      </c>
      <c r="E5" s="81" t="s">
        <v>11</v>
      </c>
      <c r="G5" s="10"/>
      <c r="H5" s="114" t="s">
        <v>33</v>
      </c>
      <c r="I5" s="115"/>
      <c r="J5" s="30"/>
    </row>
    <row r="6" spans="2:10" ht="15">
      <c r="B6" s="82" t="s">
        <v>13</v>
      </c>
      <c r="C6" s="83">
        <f>Housing[[#Totals],[Budgeted
cost]]</f>
        <v>0</v>
      </c>
      <c r="D6" s="83">
        <f>Housing[[#Totals],[Actual
cost]]</f>
        <v>0</v>
      </c>
      <c r="E6" s="84">
        <f>'December - Overview'!$C6-'December - Overview'!$D6</f>
        <v>0</v>
      </c>
      <c r="G6" s="10"/>
      <c r="H6" s="37" t="s">
        <v>6</v>
      </c>
      <c r="I6" s="38"/>
      <c r="J6" s="28"/>
    </row>
    <row r="7" spans="2:10" ht="15">
      <c r="B7" s="85" t="s">
        <v>15</v>
      </c>
      <c r="C7" s="73">
        <f>Transportation[[#Totals],[Budgeted
cost]]</f>
        <v>0</v>
      </c>
      <c r="D7" s="73">
        <f>Transportation[[#Totals],[Actual
cost]]</f>
        <v>0</v>
      </c>
      <c r="E7" s="86">
        <f>'December - Overview'!$C7-'December - Overview'!$D7</f>
        <v>0</v>
      </c>
      <c r="G7" s="10"/>
      <c r="H7" s="69" t="s">
        <v>7</v>
      </c>
      <c r="I7" s="71"/>
      <c r="J7" s="28"/>
    </row>
    <row r="8" spans="2:10" ht="15">
      <c r="B8" s="87" t="s">
        <v>16</v>
      </c>
      <c r="C8" s="72">
        <f>Loans[[#Totals],[Budgeted
cost]]</f>
        <v>0</v>
      </c>
      <c r="D8" s="72">
        <f>Loans[[#Totals],[Actual
cost]]</f>
        <v>0</v>
      </c>
      <c r="E8" s="88">
        <f>'December - Overview'!$C8-'December - Overview'!$D8</f>
        <v>0</v>
      </c>
      <c r="G8" s="10"/>
      <c r="H8" s="41" t="s">
        <v>12</v>
      </c>
      <c r="I8" s="38"/>
      <c r="J8" s="28"/>
    </row>
    <row r="9" spans="2:10" ht="17.45">
      <c r="B9" s="85" t="s">
        <v>18</v>
      </c>
      <c r="C9" s="73">
        <f>Insurance[[#Totals],[Budgeted
cost]]</f>
        <v>0</v>
      </c>
      <c r="D9" s="73">
        <f>Insurance[[#Totals],[Actual
cost]]</f>
        <v>0</v>
      </c>
      <c r="E9" s="86">
        <f>'December - Overview'!$C9-'December - Overview'!$D9</f>
        <v>0</v>
      </c>
      <c r="G9" s="10"/>
      <c r="H9" s="42" t="s">
        <v>14</v>
      </c>
      <c r="I9" s="43">
        <f>SUM(I6:I8)</f>
        <v>0</v>
      </c>
      <c r="J9" s="28"/>
    </row>
    <row r="10" spans="2:10" ht="15">
      <c r="B10" s="87" t="s">
        <v>19</v>
      </c>
      <c r="C10" s="72">
        <f>Entertainment[[#Totals],[Budgeted
cost]]</f>
        <v>0</v>
      </c>
      <c r="D10" s="72">
        <f>Entertainment[[#Totals],[Actual
cost]]</f>
        <v>0</v>
      </c>
      <c r="E10" s="88">
        <f>'December - Overview'!$C10-'December - Overview'!$D10</f>
        <v>0</v>
      </c>
      <c r="G10" s="10"/>
      <c r="H10" s="31"/>
      <c r="I10" s="31"/>
      <c r="J10" s="28"/>
    </row>
    <row r="11" spans="2:10" ht="24.6">
      <c r="B11" s="85" t="s">
        <v>20</v>
      </c>
      <c r="C11" s="94">
        <f>Food[[#Totals],[Budgeted
cost]]</f>
        <v>0</v>
      </c>
      <c r="D11" s="94">
        <f>Food[[#Totals],[Actual
cost]]</f>
        <v>0</v>
      </c>
      <c r="E11" s="95">
        <f>'December - Overview'!$C11-'December - Overview'!$D11</f>
        <v>0</v>
      </c>
      <c r="G11" s="10"/>
      <c r="H11" s="116" t="s">
        <v>34</v>
      </c>
      <c r="I11" s="117"/>
      <c r="J11" s="31"/>
    </row>
    <row r="12" spans="2:10" ht="15">
      <c r="B12" s="87" t="s">
        <v>21</v>
      </c>
      <c r="C12" s="96">
        <f>Taxes[[#Totals],[Budgeted 
cost]]</f>
        <v>0</v>
      </c>
      <c r="D12" s="96">
        <f>Taxes[[#Totals],[Actual 
cost]]</f>
        <v>0</v>
      </c>
      <c r="E12" s="97">
        <f>'December - Overview'!$C12-'December - Overview'!$D12</f>
        <v>0</v>
      </c>
      <c r="G12" s="10"/>
      <c r="H12" s="41" t="s">
        <v>6</v>
      </c>
      <c r="I12" s="44"/>
      <c r="J12" s="30"/>
    </row>
    <row r="13" spans="2:10" ht="15">
      <c r="B13" s="85" t="s">
        <v>22</v>
      </c>
      <c r="C13" s="98">
        <f>Children[[#Totals],[Budgeted
cost]]</f>
        <v>0</v>
      </c>
      <c r="D13" s="98">
        <f>Children[[#Totals],[Actual
cost]]</f>
        <v>0</v>
      </c>
      <c r="E13" s="99">
        <f>'December - Overview'!$C13-'December - Overview'!$D13</f>
        <v>0</v>
      </c>
      <c r="G13" s="10"/>
      <c r="H13" s="69" t="s">
        <v>7</v>
      </c>
      <c r="I13" s="70"/>
      <c r="J13" s="28"/>
    </row>
    <row r="14" spans="2:10" ht="15">
      <c r="B14" s="87" t="s">
        <v>23</v>
      </c>
      <c r="C14" s="100">
        <f>PersonalCare[[#Totals],[Budgeted
cost]]</f>
        <v>0</v>
      </c>
      <c r="D14" s="100">
        <f>PersonalCare[[#Totals],[Actual
cost]]</f>
        <v>0</v>
      </c>
      <c r="E14" s="101">
        <f>'December - Overview'!$C14-'December - Overview'!$D14</f>
        <v>0</v>
      </c>
      <c r="G14" s="10"/>
      <c r="H14" s="41" t="s">
        <v>12</v>
      </c>
      <c r="I14" s="44"/>
      <c r="J14" s="28"/>
    </row>
    <row r="15" spans="2:10" ht="17.45">
      <c r="B15" s="85" t="s">
        <v>25</v>
      </c>
      <c r="C15" s="94">
        <f>Legal[[#Totals],[Budgeted
cost]]</f>
        <v>0</v>
      </c>
      <c r="D15" s="94">
        <f>Legal[[#Totals],[Actual
cost]]</f>
        <v>0</v>
      </c>
      <c r="E15" s="95">
        <f>'December - Overview'!$C15-'December - Overview'!$D15</f>
        <v>0</v>
      </c>
      <c r="G15" s="10"/>
      <c r="H15" s="46" t="s">
        <v>14</v>
      </c>
      <c r="I15" s="47">
        <f>SUM(I12:I14)</f>
        <v>0</v>
      </c>
      <c r="J15" s="28"/>
    </row>
    <row r="16" spans="2:10" ht="15">
      <c r="B16" s="87" t="s">
        <v>27</v>
      </c>
      <c r="C16" s="96">
        <f>Pets[[#Totals],[Budgeted
cost]]</f>
        <v>0</v>
      </c>
      <c r="D16" s="96">
        <f>Pets[[#Totals],[Actual
cost]]</f>
        <v>0</v>
      </c>
      <c r="E16" s="97">
        <f>'December - Overview'!$C16-'December - Overview'!$D16</f>
        <v>0</v>
      </c>
      <c r="G16" s="10"/>
      <c r="H16" s="31"/>
      <c r="I16" s="31"/>
      <c r="J16" s="28"/>
    </row>
    <row r="17" spans="2:10" ht="24.6">
      <c r="B17" s="85" t="s">
        <v>29</v>
      </c>
      <c r="C17" s="73">
        <f>Savings[[#Totals],[Budgeted
cost]]</f>
        <v>0</v>
      </c>
      <c r="D17" s="73">
        <f>Savings[[#Totals],[Actual
cost]]</f>
        <v>0</v>
      </c>
      <c r="E17" s="86">
        <f>'December - Overview'!$C17-'December - Overview'!$D17</f>
        <v>0</v>
      </c>
      <c r="F17" s="10"/>
      <c r="G17" s="8"/>
      <c r="H17" s="118" t="s">
        <v>24</v>
      </c>
      <c r="I17" s="119"/>
      <c r="J17" s="29"/>
    </row>
    <row r="18" spans="2:10" ht="15.6" thickBot="1">
      <c r="B18" s="87" t="s">
        <v>30</v>
      </c>
      <c r="C18" s="72">
        <f>Gifts[[#Totals],[Budgeted
cost]]</f>
        <v>0</v>
      </c>
      <c r="D18" s="72">
        <f>Gifts[[#Totals],[Actual
cost]]</f>
        <v>0</v>
      </c>
      <c r="E18" s="88">
        <f>'December - Overview'!$C18-'December - Overview'!$D18</f>
        <v>0</v>
      </c>
      <c r="F18" s="34"/>
      <c r="G18" s="35"/>
      <c r="H18" s="48" t="s">
        <v>35</v>
      </c>
      <c r="I18" s="49">
        <f>SUM(I9-'December - Overview'!$C$3:$C$3)</f>
        <v>0</v>
      </c>
      <c r="J18" s="29"/>
    </row>
    <row r="19" spans="2:10" s="32" customFormat="1" ht="25.15" thickTop="1">
      <c r="B19" s="91" t="s">
        <v>31</v>
      </c>
      <c r="C19" s="92">
        <f>SUBTOTAL(109,'December - Overview'!$C$6:$C$18)</f>
        <v>0</v>
      </c>
      <c r="D19" s="92">
        <f>SUBTOTAL(109,'December - Overview'!$D$6:$D$18)</f>
        <v>0</v>
      </c>
      <c r="E19" s="93">
        <f>SUBTOTAL(109,'December - Overview'!$E$6:$E$18)</f>
        <v>0</v>
      </c>
      <c r="H19" s="67" t="s">
        <v>36</v>
      </c>
      <c r="I19" s="68">
        <f>SUM(I15-D3)</f>
        <v>0</v>
      </c>
    </row>
    <row r="20" spans="2:10" ht="17.45">
      <c r="H20" s="52" t="s">
        <v>11</v>
      </c>
      <c r="I20" s="53">
        <f>SUM(I19-I18)</f>
        <v>0</v>
      </c>
    </row>
    <row r="21" spans="2:10" ht="30" customHeight="1">
      <c r="H21" s="8"/>
      <c r="I21" s="9"/>
    </row>
    <row r="22" spans="2:10" ht="30" customHeight="1">
      <c r="I22"/>
    </row>
    <row r="23" spans="2:10" ht="30" customHeight="1">
      <c r="I23"/>
    </row>
    <row r="24" spans="2:10" ht="30" customHeight="1">
      <c r="I24"/>
    </row>
    <row r="25" spans="2:10" ht="30" customHeight="1">
      <c r="I25"/>
    </row>
    <row r="26" spans="2:10" ht="30" customHeight="1">
      <c r="I26"/>
    </row>
    <row r="27" spans="2:10" ht="37.9" customHeight="1">
      <c r="I27"/>
    </row>
    <row r="28" spans="2:10" ht="30" customHeight="1">
      <c r="I28"/>
    </row>
    <row r="29" spans="2:10" ht="48" customHeight="1">
      <c r="I29"/>
    </row>
    <row r="30" spans="2:10" ht="30" customHeight="1">
      <c r="I30"/>
    </row>
    <row r="31" spans="2:10" ht="30" customHeight="1">
      <c r="I31"/>
    </row>
    <row r="32" spans="2:10" ht="30" customHeight="1">
      <c r="I32"/>
    </row>
    <row r="33" spans="9:9" ht="30" customHeight="1">
      <c r="I33"/>
    </row>
    <row r="34" spans="9:9" ht="30" customHeight="1">
      <c r="I34"/>
    </row>
    <row r="35" spans="9:9" ht="30" customHeight="1">
      <c r="I35"/>
    </row>
    <row r="36" spans="9:9" ht="30" customHeight="1">
      <c r="I36"/>
    </row>
    <row r="37" spans="9:9" ht="30" customHeight="1">
      <c r="I37"/>
    </row>
    <row r="38" spans="9:9" ht="30" customHeight="1">
      <c r="I38"/>
    </row>
    <row r="39" spans="9:9" ht="30" customHeight="1">
      <c r="I39"/>
    </row>
    <row r="40" spans="9:9" ht="37.9" customHeight="1">
      <c r="I40"/>
    </row>
    <row r="41" spans="9:9" ht="30" customHeight="1">
      <c r="I41"/>
    </row>
    <row r="42" spans="9:9" ht="48" customHeight="1">
      <c r="I42"/>
    </row>
    <row r="43" spans="9:9" ht="30" customHeight="1">
      <c r="I43"/>
    </row>
    <row r="44" spans="9:9" ht="30" customHeight="1">
      <c r="I44"/>
    </row>
    <row r="45" spans="9:9" ht="30" customHeight="1">
      <c r="I45"/>
    </row>
    <row r="46" spans="9:9" ht="30" customHeight="1">
      <c r="I46"/>
    </row>
    <row r="47" spans="9:9" ht="30" customHeight="1">
      <c r="I47"/>
    </row>
    <row r="48" spans="9:9" ht="30" customHeight="1">
      <c r="I48"/>
    </row>
    <row r="49" spans="9:9" ht="37.9" customHeight="1">
      <c r="I49"/>
    </row>
    <row r="50" spans="9:9" ht="30" customHeight="1">
      <c r="I50"/>
    </row>
    <row r="51" spans="9:9" ht="48" customHeight="1">
      <c r="I51"/>
    </row>
    <row r="52" spans="9:9" ht="30" customHeight="1">
      <c r="I52"/>
    </row>
    <row r="53" spans="9:9" ht="30" customHeight="1">
      <c r="I53"/>
    </row>
    <row r="54" spans="9:9" ht="30" customHeight="1">
      <c r="I54"/>
    </row>
    <row r="55" spans="9:9" ht="30" customHeight="1">
      <c r="I55"/>
    </row>
    <row r="56" spans="9:9" ht="30" customHeight="1">
      <c r="I56"/>
    </row>
    <row r="57" spans="9:9" ht="30" customHeight="1">
      <c r="I57"/>
    </row>
    <row r="58" spans="9:9" ht="30" customHeight="1">
      <c r="I58"/>
    </row>
    <row r="59" spans="9:9" ht="30" customHeight="1">
      <c r="I59"/>
    </row>
    <row r="60" spans="9:9" ht="30" customHeight="1">
      <c r="I60"/>
    </row>
    <row r="61" spans="9:9" ht="30" customHeight="1">
      <c r="I61"/>
    </row>
  </sheetData>
  <mergeCells count="4">
    <mergeCell ref="B1:H1"/>
    <mergeCell ref="H5:I5"/>
    <mergeCell ref="H11:I11"/>
    <mergeCell ref="H17:I17"/>
  </mergeCells>
  <conditionalFormatting sqref="B1 I1:J4 B2:F2 B3 E3:F3 F4 H5:H6 G5:G16 J5:J18 I6 H7:I10 H11 H12:I15 H16:H17 F17:G18 H18:I21">
    <cfRule type="cellIs" dxfId="109" priority="5" operator="lessThan">
      <formula>0</formula>
    </cfRule>
  </conditionalFormatting>
  <conditionalFormatting sqref="B6:E19">
    <cfRule type="cellIs" dxfId="108" priority="1" operator="lessThan">
      <formula>0</formula>
    </cfRule>
  </conditionalFormatting>
  <conditionalFormatting sqref="C3:D3">
    <cfRule type="cellIs" dxfId="107" priority="4" operator="lessThan">
      <formula>0</formula>
    </cfRule>
  </conditionalFormatting>
  <conditionalFormatting sqref="E3">
    <cfRule type="iconSet" priority="3">
      <iconSet iconSet="3Arrows">
        <cfvo type="percentile" val="0"/>
        <cfvo type="num" val="-50"/>
        <cfvo type="num" val="50"/>
      </iconSet>
    </cfRule>
  </conditionalFormatting>
  <conditionalFormatting sqref="E6:E18">
    <cfRule type="iconSet" priority="2">
      <iconSet iconSet="3Arrows">
        <cfvo type="percentile" val="0"/>
        <cfvo type="num" val="-50"/>
        <cfvo type="num" val="50"/>
      </iconSet>
    </cfRule>
  </conditionalFormatting>
  <conditionalFormatting sqref="I20:I21">
    <cfRule type="iconSet" priority="6">
      <iconSet iconSet="3Arrows">
        <cfvo type="percentile" val="0"/>
        <cfvo type="num" val="-50"/>
        <cfvo type="num" val="50"/>
      </iconSet>
    </cfRule>
  </conditionalFormatting>
  <dataValidations count="11">
    <dataValidation allowBlank="1" showInputMessage="1" showErrorMessage="1" prompt="Create a Family Budget Planner in this worksheet. Enter details in tables. Total Projected and Actual Costs, Projected and Actual Balance, and Difference are auto calculated" sqref="A1" xr:uid="{F0553814-239E-4D29-A5A9-16871687083B}"/>
    <dataValidation allowBlank="1" showInputMessage="1" showErrorMessage="1" prompt="Title of this worksheet is in this cell. Summary is in table below. Sample expense categories are in separate tables starting in B5. Enter income amounts starting in cell G2" sqref="B1" xr:uid="{CCA6E913-DAFF-4858-8ECC-2B43AFB5F89A}"/>
    <dataValidation allowBlank="1" showInputMessage="1" showErrorMessage="1" prompt="Total Projected Cost is auto calculated in cell below" sqref="C2" xr:uid="{7F0E5010-26BA-4A02-B071-A6ADCBBCF35E}"/>
    <dataValidation allowBlank="1" showInputMessage="1" showErrorMessage="1" prompt="Total Actual Cost is auto calculated in cell below" sqref="D2" xr:uid="{3DB1AA15-E52D-4E40-A8F4-A6207487F075}"/>
    <dataValidation allowBlank="1" showInputMessage="1" showErrorMessage="1" prompt="Total Difference is auto calculated in cell below" sqref="E2" xr:uid="{BDE373F4-6E8B-4C21-BB8C-F3184FB09461}"/>
    <dataValidation allowBlank="1" showInputMessage="1" showErrorMessage="1" prompt="Enter Projected Monthly Income Source in this column under this heading" sqref="H5" xr:uid="{8B9D085E-8723-4B48-8D88-40B94235715C}"/>
    <dataValidation allowBlank="1" showInputMessage="1" showErrorMessage="1" prompt="Enter details in Actual Monthly Income table below" sqref="H10" xr:uid="{56716E5B-ABB1-464E-BF7F-1CBC1F753CF9}"/>
    <dataValidation allowBlank="1" showInputMessage="1" showErrorMessage="1" prompt="Enter Actual Monthly Income Source in this column under this heading" sqref="H11" xr:uid="{F11FE79A-7EFD-4605-8D96-220BA6F8E1C7}"/>
    <dataValidation allowBlank="1" showInputMessage="1" showErrorMessage="1" prompt="Balance table below is auto updated" sqref="H16" xr:uid="{9F796D04-F1F9-4C5A-8CBF-9E6A64754BAB}"/>
    <dataValidation allowBlank="1" showInputMessage="1" showErrorMessage="1" prompt="Balance is in this column under this heading" sqref="H17" xr:uid="{BC62DB81-6E56-4B71-A0CF-723CC24E9043}"/>
    <dataValidation allowBlank="1" showInputMessage="1" showErrorMessage="1" prompt="Total Projected, Actual, and Difference is auto calculated in this table" sqref="B2" xr:uid="{FFF577AF-C4CF-4E94-9C39-15B879275668}"/>
  </dataValidations>
  <printOptions horizontalCentered="1"/>
  <pageMargins left="0.23622047244094491" right="0.23622047244094491" top="0.51181102362204722" bottom="0.51181102362204722" header="0.51181102362204722" footer="0.51181102362204722"/>
  <pageSetup scale="60" orientation="landscape" r:id="rId1"/>
  <headerFooter alignWithMargins="0"/>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ABF66-593C-4B3D-8C5C-BDDAB9E7391B}">
  <sheetPr>
    <tabColor theme="2" tint="-9.9978637043366805E-2"/>
  </sheetPr>
  <dimension ref="B1:L74"/>
  <sheetViews>
    <sheetView topLeftCell="A9" zoomScale="70" zoomScaleNormal="70" workbookViewId="0">
      <selection activeCell="I36" sqref="I36"/>
    </sheetView>
  </sheetViews>
  <sheetFormatPr defaultColWidth="9" defaultRowHeight="13.9"/>
  <cols>
    <col min="1" max="1" width="2.375" style="12" customWidth="1"/>
    <col min="2" max="2" width="29.75" style="12" bestFit="1" customWidth="1"/>
    <col min="3" max="3" width="13.5" style="12" bestFit="1" customWidth="1"/>
    <col min="4" max="4" width="10.25" style="12" bestFit="1" customWidth="1"/>
    <col min="5" max="5" width="14.875" style="66" bestFit="1" customWidth="1"/>
    <col min="6" max="6" width="14.25" style="12" bestFit="1" customWidth="1"/>
    <col min="7" max="7" width="5.5" style="12" customWidth="1"/>
    <col min="8" max="8" width="28.125" style="12" bestFit="1" customWidth="1"/>
    <col min="9" max="9" width="13.5" style="12" bestFit="1" customWidth="1"/>
    <col min="10" max="10" width="10.25" style="12" bestFit="1" customWidth="1"/>
    <col min="11" max="11" width="12.875" style="12" bestFit="1" customWidth="1"/>
    <col min="12" max="12" width="14.25" style="12" bestFit="1" customWidth="1"/>
    <col min="13" max="16384" width="9" style="12"/>
  </cols>
  <sheetData>
    <row r="1" spans="2:12" ht="15" customHeight="1">
      <c r="B1" s="56"/>
      <c r="C1" s="56"/>
      <c r="D1" s="56"/>
      <c r="E1" s="74"/>
      <c r="F1" s="75"/>
      <c r="G1" s="56"/>
      <c r="H1" s="56"/>
      <c r="I1" s="56"/>
      <c r="J1" s="56"/>
    </row>
    <row r="2" spans="2:12" ht="15" customHeight="1">
      <c r="B2" s="22" t="s">
        <v>13</v>
      </c>
      <c r="C2" s="21" t="s">
        <v>9</v>
      </c>
      <c r="D2" s="21" t="s">
        <v>10</v>
      </c>
      <c r="E2" s="57" t="s">
        <v>37</v>
      </c>
      <c r="F2" s="21" t="s">
        <v>11</v>
      </c>
      <c r="G2" s="56"/>
      <c r="H2" s="22" t="s">
        <v>29</v>
      </c>
      <c r="I2" s="21" t="s">
        <v>9</v>
      </c>
      <c r="J2" s="21" t="s">
        <v>10</v>
      </c>
      <c r="K2" s="63" t="s">
        <v>37</v>
      </c>
      <c r="L2" s="21" t="s">
        <v>11</v>
      </c>
    </row>
    <row r="3" spans="2:12" ht="15" customHeight="1">
      <c r="B3" s="18" t="s">
        <v>38</v>
      </c>
      <c r="C3" s="17"/>
      <c r="D3" s="17"/>
      <c r="E3" s="58"/>
      <c r="F3" s="17">
        <f>Housing102115128141154167180193206219232[[#This Row],[Budgeted
cost]]-Housing102115128141154167180193206219232[[#This Row],[Actual
cost]]</f>
        <v>0</v>
      </c>
      <c r="G3" s="56"/>
      <c r="H3" s="18" t="s">
        <v>39</v>
      </c>
      <c r="I3" s="17"/>
      <c r="J3" s="17"/>
      <c r="K3" s="58"/>
      <c r="L3" s="17">
        <f>Savings92105118131144157170183196209222[[#This Row],[Budgeted
cost]]-Savings92105118131144157170183196209222[[#This Row],[Actual
cost]]</f>
        <v>0</v>
      </c>
    </row>
    <row r="4" spans="2:12" ht="15" customHeight="1">
      <c r="B4" s="18" t="s">
        <v>40</v>
      </c>
      <c r="C4" s="17"/>
      <c r="D4" s="17"/>
      <c r="E4" s="58"/>
      <c r="F4" s="17">
        <f>Housing102115128141154167180193206219232[[#This Row],[Budgeted
cost]]-Housing102115128141154167180193206219232[[#This Row],[Actual
cost]]</f>
        <v>0</v>
      </c>
      <c r="G4" s="56"/>
      <c r="H4" s="18" t="s">
        <v>41</v>
      </c>
      <c r="I4" s="17"/>
      <c r="J4" s="17"/>
      <c r="K4" s="58"/>
      <c r="L4" s="17">
        <f>Savings92105118131144157170183196209222[[#This Row],[Budgeted
cost]]-Savings92105118131144157170183196209222[[#This Row],[Actual
cost]]</f>
        <v>0</v>
      </c>
    </row>
    <row r="5" spans="2:12" ht="15" customHeight="1">
      <c r="B5" s="18" t="s">
        <v>42</v>
      </c>
      <c r="C5" s="17"/>
      <c r="D5" s="17"/>
      <c r="E5" s="58"/>
      <c r="F5" s="17">
        <f>Housing102115128141154167180193206219232[[#This Row],[Budgeted
cost]]-Housing102115128141154167180193206219232[[#This Row],[Actual
cost]]</f>
        <v>0</v>
      </c>
      <c r="G5" s="56"/>
      <c r="H5" s="18" t="s">
        <v>43</v>
      </c>
      <c r="I5" s="17"/>
      <c r="J5" s="17"/>
      <c r="K5" s="58"/>
      <c r="L5" s="17">
        <f>Savings92105118131144157170183196209222[[#This Row],[Budgeted
cost]]-Savings92105118131144157170183196209222[[#This Row],[Actual
cost]]</f>
        <v>0</v>
      </c>
    </row>
    <row r="6" spans="2:12" ht="15" customHeight="1">
      <c r="B6" s="18" t="s">
        <v>44</v>
      </c>
      <c r="C6" s="17"/>
      <c r="D6" s="17"/>
      <c r="E6" s="58"/>
      <c r="F6" s="17">
        <f>Housing102115128141154167180193206219232[[#This Row],[Budgeted
cost]]-Housing102115128141154167180193206219232[[#This Row],[Actual
cost]]</f>
        <v>0</v>
      </c>
      <c r="G6" s="56"/>
      <c r="H6" s="18" t="s">
        <v>45</v>
      </c>
      <c r="I6" s="17"/>
      <c r="J6" s="17"/>
      <c r="K6" s="58"/>
      <c r="L6" s="17">
        <f>Savings92105118131144157170183196209222[[#This Row],[Budgeted
cost]]-Savings92105118131144157170183196209222[[#This Row],[Actual
cost]]</f>
        <v>0</v>
      </c>
    </row>
    <row r="7" spans="2:12" ht="15" customHeight="1">
      <c r="B7" s="18" t="s">
        <v>46</v>
      </c>
      <c r="C7" s="17"/>
      <c r="D7" s="17"/>
      <c r="E7" s="58"/>
      <c r="F7" s="17">
        <f>Housing102115128141154167180193206219232[[#This Row],[Budgeted
cost]]-Housing102115128141154167180193206219232[[#This Row],[Actual
cost]]</f>
        <v>0</v>
      </c>
      <c r="G7" s="56"/>
      <c r="H7" s="18" t="s">
        <v>47</v>
      </c>
      <c r="I7" s="17"/>
      <c r="J7" s="17"/>
      <c r="K7" s="58"/>
      <c r="L7" s="17">
        <f>Savings92105118131144157170183196209222[[#This Row],[Budgeted
cost]]-Savings92105118131144157170183196209222[[#This Row],[Actual
cost]]</f>
        <v>0</v>
      </c>
    </row>
    <row r="8" spans="2:12" ht="15" customHeight="1">
      <c r="B8" s="18" t="s">
        <v>48</v>
      </c>
      <c r="C8" s="17"/>
      <c r="D8" s="17"/>
      <c r="E8" s="58"/>
      <c r="F8" s="17">
        <f>Housing102115128141154167180193206219232[[#This Row],[Budgeted
cost]]-Housing102115128141154167180193206219232[[#This Row],[Actual
cost]]</f>
        <v>0</v>
      </c>
      <c r="G8" s="56"/>
      <c r="H8" s="18" t="s">
        <v>49</v>
      </c>
      <c r="I8" s="17"/>
      <c r="J8" s="17"/>
      <c r="K8" s="58"/>
      <c r="L8" s="17">
        <f>Savings92105118131144157170183196209222[[#This Row],[Budgeted
cost]]-Savings92105118131144157170183196209222[[#This Row],[Actual
cost]]</f>
        <v>0</v>
      </c>
    </row>
    <row r="9" spans="2:12" ht="15" customHeight="1">
      <c r="B9" s="18" t="s">
        <v>50</v>
      </c>
      <c r="C9" s="17"/>
      <c r="D9" s="17"/>
      <c r="E9" s="58"/>
      <c r="F9" s="17">
        <f>Housing102115128141154167180193206219232[[#This Row],[Budgeted
cost]]-Housing102115128141154167180193206219232[[#This Row],[Actual
cost]]</f>
        <v>0</v>
      </c>
      <c r="G9" s="56"/>
      <c r="H9" s="18" t="s">
        <v>49</v>
      </c>
      <c r="I9" s="17"/>
      <c r="J9" s="17"/>
      <c r="K9" s="58"/>
      <c r="L9" s="17">
        <f>Savings92105118131144157170183196209222[[#This Row],[Budgeted
cost]]-Savings92105118131144157170183196209222[[#This Row],[Actual
cost]]</f>
        <v>0</v>
      </c>
    </row>
    <row r="10" spans="2:12" ht="15" customHeight="1">
      <c r="B10" s="18" t="s">
        <v>51</v>
      </c>
      <c r="C10" s="17"/>
      <c r="D10" s="17"/>
      <c r="E10" s="58"/>
      <c r="F10" s="17">
        <f>Housing102115128141154167180193206219232[[#This Row],[Budgeted
cost]]-Housing102115128141154167180193206219232[[#This Row],[Actual
cost]]</f>
        <v>0</v>
      </c>
      <c r="G10" s="56"/>
      <c r="H10" s="18" t="s">
        <v>31</v>
      </c>
      <c r="I10" s="19">
        <f>SUBTOTAL(109,Savings92105118131144157170183196209222[Budgeted
cost])</f>
        <v>0</v>
      </c>
      <c r="J10" s="19">
        <f>SUBTOTAL(109,Savings92105118131144157170183196209222[Actual
cost])</f>
        <v>0</v>
      </c>
      <c r="K10" s="61"/>
      <c r="L10" s="19">
        <f>SUBTOTAL(109,Savings92105118131144157170183196209222[Difference])</f>
        <v>0</v>
      </c>
    </row>
    <row r="11" spans="2:12" ht="15" customHeight="1">
      <c r="B11" s="18" t="s">
        <v>52</v>
      </c>
      <c r="C11" s="17"/>
      <c r="D11" s="17"/>
      <c r="E11" s="58"/>
      <c r="F11" s="17">
        <f>Housing102115128141154167180193206219232[[#This Row],[Budgeted
cost]]-Housing102115128141154167180193206219232[[#This Row],[Actual
cost]]</f>
        <v>0</v>
      </c>
      <c r="G11" s="56"/>
      <c r="H11" s="56"/>
      <c r="I11" s="56"/>
      <c r="J11" s="56"/>
    </row>
    <row r="12" spans="2:12" ht="15" customHeight="1">
      <c r="B12" s="18" t="s">
        <v>49</v>
      </c>
      <c r="C12" s="17"/>
      <c r="D12" s="17"/>
      <c r="E12" s="58"/>
      <c r="F12" s="17">
        <f>Housing102115128141154167180193206219232[[#This Row],[Budgeted
cost]]-Housing102115128141154167180193206219232[[#This Row],[Actual
cost]]</f>
        <v>0</v>
      </c>
      <c r="G12" s="56"/>
    </row>
    <row r="13" spans="2:12" ht="15" customHeight="1">
      <c r="B13" s="18" t="s">
        <v>31</v>
      </c>
      <c r="C13" s="19">
        <f>SUBTOTAL(109,Housing102115128141154167180193206219232[Budgeted
cost])</f>
        <v>0</v>
      </c>
      <c r="D13" s="19">
        <f>SUBTOTAL(109,Housing102115128141154167180193206219232[Actual
cost])</f>
        <v>0</v>
      </c>
      <c r="E13"/>
      <c r="F13" s="19">
        <f>SUBTOTAL(109,Housing102115128141154167180193206219232[Difference])</f>
        <v>0</v>
      </c>
      <c r="G13" s="56"/>
    </row>
    <row r="14" spans="2:12" ht="15" customHeight="1">
      <c r="B14" s="56"/>
      <c r="C14" s="56"/>
      <c r="D14" s="56"/>
      <c r="E14" s="74"/>
      <c r="F14" s="75"/>
      <c r="G14" s="56"/>
    </row>
    <row r="15" spans="2:12" ht="27.6">
      <c r="B15" s="22" t="s">
        <v>15</v>
      </c>
      <c r="C15" s="21" t="s">
        <v>9</v>
      </c>
      <c r="D15" s="21" t="s">
        <v>10</v>
      </c>
      <c r="E15" s="60" t="s">
        <v>37</v>
      </c>
      <c r="F15" s="21" t="s">
        <v>11</v>
      </c>
      <c r="G15" s="13"/>
      <c r="H15" s="22" t="s">
        <v>23</v>
      </c>
      <c r="I15" s="21" t="s">
        <v>9</v>
      </c>
      <c r="J15" s="23" t="s">
        <v>10</v>
      </c>
      <c r="K15" s="63" t="s">
        <v>37</v>
      </c>
      <c r="L15" s="21" t="s">
        <v>11</v>
      </c>
    </row>
    <row r="16" spans="2:12">
      <c r="B16" s="18" t="s">
        <v>53</v>
      </c>
      <c r="C16" s="17"/>
      <c r="D16" s="17"/>
      <c r="E16" s="58"/>
      <c r="F16" s="17">
        <f>Transportation101114127140153166179192205218231[[#This Row],[Budgeted
cost]]-Transportation101114127140153166179192205218231[[#This Row],[Actual
cost]]</f>
        <v>0</v>
      </c>
      <c r="G16" s="13"/>
      <c r="H16" s="18" t="s">
        <v>54</v>
      </c>
      <c r="I16" s="17"/>
      <c r="J16" s="17"/>
      <c r="K16" s="58"/>
      <c r="L16" s="17">
        <f>PersonalCare96109122135148161174187200213226[[#This Row],[Budgeted
cost]]-PersonalCare96109122135148161174187200213226[[#This Row],[Actual
cost]]</f>
        <v>0</v>
      </c>
    </row>
    <row r="17" spans="2:12">
      <c r="B17" s="18" t="s">
        <v>55</v>
      </c>
      <c r="C17" s="17"/>
      <c r="D17" s="17"/>
      <c r="E17" s="58"/>
      <c r="F17" s="17">
        <f>Transportation101114127140153166179192205218231[[#This Row],[Budgeted
cost]]-Transportation101114127140153166179192205218231[[#This Row],[Actual
cost]]</f>
        <v>0</v>
      </c>
      <c r="G17" s="13"/>
      <c r="H17" s="18" t="s">
        <v>56</v>
      </c>
      <c r="I17" s="17"/>
      <c r="J17" s="17"/>
      <c r="K17" s="58"/>
      <c r="L17" s="17">
        <f>PersonalCare96109122135148161174187200213226[[#This Row],[Budgeted
cost]]-PersonalCare96109122135148161174187200213226[[#This Row],[Actual
cost]]</f>
        <v>0</v>
      </c>
    </row>
    <row r="18" spans="2:12">
      <c r="B18" s="18" t="s">
        <v>57</v>
      </c>
      <c r="C18" s="17"/>
      <c r="D18" s="17"/>
      <c r="E18" s="58"/>
      <c r="F18" s="17">
        <f>Transportation101114127140153166179192205218231[[#This Row],[Budgeted
cost]]-Transportation101114127140153166179192205218231[[#This Row],[Actual
cost]]</f>
        <v>0</v>
      </c>
      <c r="G18" s="13"/>
      <c r="H18" s="18" t="s">
        <v>58</v>
      </c>
      <c r="I18" s="17"/>
      <c r="J18" s="17"/>
      <c r="K18" s="58"/>
      <c r="L18" s="17">
        <f>PersonalCare96109122135148161174187200213226[[#This Row],[Budgeted
cost]]-PersonalCare96109122135148161174187200213226[[#This Row],[Actual
cost]]</f>
        <v>0</v>
      </c>
    </row>
    <row r="19" spans="2:12">
      <c r="B19" s="18" t="s">
        <v>18</v>
      </c>
      <c r="C19" s="17"/>
      <c r="D19" s="17"/>
      <c r="E19" s="58"/>
      <c r="F19" s="17">
        <f>Transportation101114127140153166179192205218231[[#This Row],[Budgeted
cost]]-Transportation101114127140153166179192205218231[[#This Row],[Actual
cost]]</f>
        <v>0</v>
      </c>
      <c r="G19" s="13"/>
      <c r="H19" s="18" t="s">
        <v>59</v>
      </c>
      <c r="I19" s="17"/>
      <c r="J19" s="17"/>
      <c r="K19" s="58"/>
      <c r="L19" s="17">
        <f>PersonalCare96109122135148161174187200213226[[#This Row],[Budgeted
cost]]-PersonalCare96109122135148161174187200213226[[#This Row],[Actual
cost]]</f>
        <v>0</v>
      </c>
    </row>
    <row r="20" spans="2:12">
      <c r="B20" s="18" t="s">
        <v>60</v>
      </c>
      <c r="C20" s="17"/>
      <c r="D20" s="17"/>
      <c r="E20" s="58"/>
      <c r="F20" s="17">
        <f>Transportation101114127140153166179192205218231[[#This Row],[Budgeted
cost]]-Transportation101114127140153166179192205218231[[#This Row],[Actual
cost]]</f>
        <v>0</v>
      </c>
      <c r="G20" s="13"/>
      <c r="H20" s="18" t="s">
        <v>61</v>
      </c>
      <c r="I20" s="17"/>
      <c r="J20" s="17"/>
      <c r="K20" s="58"/>
      <c r="L20" s="17">
        <f>PersonalCare96109122135148161174187200213226[[#This Row],[Budgeted
cost]]-PersonalCare96109122135148161174187200213226[[#This Row],[Actual
cost]]</f>
        <v>0</v>
      </c>
    </row>
    <row r="21" spans="2:12">
      <c r="B21" s="18" t="s">
        <v>62</v>
      </c>
      <c r="C21" s="17"/>
      <c r="D21" s="17"/>
      <c r="E21" s="58"/>
      <c r="F21" s="17">
        <f>Transportation101114127140153166179192205218231[[#This Row],[Budgeted
cost]]-Transportation101114127140153166179192205218231[[#This Row],[Actual
cost]]</f>
        <v>0</v>
      </c>
      <c r="G21" s="13"/>
      <c r="H21" s="18" t="s">
        <v>63</v>
      </c>
      <c r="I21" s="17"/>
      <c r="J21" s="17"/>
      <c r="K21" s="58"/>
      <c r="L21" s="17">
        <f>PersonalCare96109122135148161174187200213226[[#This Row],[Budgeted
cost]]-PersonalCare96109122135148161174187200213226[[#This Row],[Actual
cost]]</f>
        <v>0</v>
      </c>
    </row>
    <row r="22" spans="2:12">
      <c r="B22" s="18" t="s">
        <v>64</v>
      </c>
      <c r="C22" s="17"/>
      <c r="D22" s="17"/>
      <c r="E22" s="58"/>
      <c r="F22" s="17">
        <f>Transportation101114127140153166179192205218231[[#This Row],[Budgeted
cost]]-Transportation101114127140153166179192205218231[[#This Row],[Actual
cost]]</f>
        <v>0</v>
      </c>
      <c r="G22" s="13"/>
      <c r="H22" s="18" t="s">
        <v>49</v>
      </c>
      <c r="I22" s="17"/>
      <c r="J22" s="17"/>
      <c r="K22" s="58"/>
      <c r="L22" s="17">
        <f>PersonalCare96109122135148161174187200213226[[#This Row],[Budgeted
cost]]-PersonalCare96109122135148161174187200213226[[#This Row],[Actual
cost]]</f>
        <v>0</v>
      </c>
    </row>
    <row r="23" spans="2:12">
      <c r="B23" s="18" t="s">
        <v>49</v>
      </c>
      <c r="C23" s="17"/>
      <c r="D23" s="17"/>
      <c r="E23" s="58"/>
      <c r="F23" s="17">
        <f>Transportation101114127140153166179192205218231[[#This Row],[Budgeted
cost]]-Transportation101114127140153166179192205218231[[#This Row],[Actual
cost]]</f>
        <v>0</v>
      </c>
      <c r="G23" s="13"/>
      <c r="H23" s="18" t="s">
        <v>49</v>
      </c>
      <c r="I23" s="17"/>
      <c r="J23" s="17"/>
      <c r="K23" s="58"/>
      <c r="L23" s="17">
        <f>PersonalCare96109122135148161174187200213226[[#This Row],[Budgeted
cost]]-PersonalCare96109122135148161174187200213226[[#This Row],[Actual
cost]]</f>
        <v>0</v>
      </c>
    </row>
    <row r="24" spans="2:12">
      <c r="B24" s="18" t="s">
        <v>49</v>
      </c>
      <c r="C24" s="17"/>
      <c r="D24" s="17"/>
      <c r="E24" s="58"/>
      <c r="F24" s="17">
        <f>Transportation101114127140153166179192205218231[[#This Row],[Budgeted
cost]]-Transportation101114127140153166179192205218231[[#This Row],[Actual
cost]]</f>
        <v>0</v>
      </c>
      <c r="G24" s="13"/>
      <c r="H24" s="18" t="s">
        <v>31</v>
      </c>
      <c r="I24" s="19">
        <f>SUBTOTAL(109,PersonalCare96109122135148161174187200213226[Budgeted
cost])</f>
        <v>0</v>
      </c>
      <c r="J24" s="19">
        <f>SUBTOTAL(109,PersonalCare96109122135148161174187200213226[Actual
cost])</f>
        <v>0</v>
      </c>
      <c r="K24" s="61"/>
      <c r="L24" s="19">
        <f>SUBTOTAL(109,PersonalCare96109122135148161174187200213226[Difference])</f>
        <v>0</v>
      </c>
    </row>
    <row r="25" spans="2:12">
      <c r="B25" s="18" t="s">
        <v>31</v>
      </c>
      <c r="C25" s="19">
        <f>SUBTOTAL(109,Transportation101114127140153166179192205218231[Budgeted
cost])</f>
        <v>0</v>
      </c>
      <c r="D25" s="19">
        <f>SUBTOTAL(109,Transportation101114127140153166179192205218231[Actual
cost])</f>
        <v>0</v>
      </c>
      <c r="E25" s="61"/>
      <c r="F25" s="19">
        <f>SUBTOTAL(109,Transportation101114127140153166179192205218231[Difference])</f>
        <v>0</v>
      </c>
      <c r="G25" s="13"/>
    </row>
    <row r="26" spans="2:12" ht="17.45">
      <c r="B26" s="7"/>
      <c r="C26" s="6"/>
      <c r="D26" s="6"/>
      <c r="E26" s="62"/>
      <c r="F26" s="13"/>
    </row>
    <row r="27" spans="2:12" ht="27.6">
      <c r="B27" s="22" t="s">
        <v>18</v>
      </c>
      <c r="C27" s="21" t="s">
        <v>9</v>
      </c>
      <c r="D27" s="21" t="s">
        <v>10</v>
      </c>
      <c r="E27" s="63" t="s">
        <v>37</v>
      </c>
      <c r="F27" s="21" t="s">
        <v>11</v>
      </c>
      <c r="G27" s="13"/>
      <c r="H27" s="22" t="s">
        <v>27</v>
      </c>
      <c r="I27" s="21" t="s">
        <v>9</v>
      </c>
      <c r="J27" s="23" t="s">
        <v>10</v>
      </c>
      <c r="K27" s="63" t="s">
        <v>37</v>
      </c>
      <c r="L27" s="21" t="s">
        <v>11</v>
      </c>
    </row>
    <row r="28" spans="2:12">
      <c r="B28" s="18" t="s">
        <v>65</v>
      </c>
      <c r="C28" s="17"/>
      <c r="D28" s="17"/>
      <c r="E28" s="58"/>
      <c r="F28" s="17">
        <f>Insurance100113126139152165178191204217230[[#This Row],[Budgeted
cost]]-Insurance100113126139152165178191204217230[[#This Row],[Actual
cost]]</f>
        <v>0</v>
      </c>
      <c r="G28" s="13"/>
      <c r="H28" s="18" t="s">
        <v>20</v>
      </c>
      <c r="I28" s="17"/>
      <c r="J28" s="17"/>
      <c r="K28" s="58"/>
      <c r="L28" s="17">
        <f>Pets97110123136149162175188201214227[[#This Row],[Budgeted
cost]]-Pets97110123136149162175188201214227[[#This Row],[Actual
cost]]</f>
        <v>0</v>
      </c>
    </row>
    <row r="29" spans="2:12">
      <c r="B29" s="18" t="s">
        <v>66</v>
      </c>
      <c r="C29" s="17"/>
      <c r="D29" s="17"/>
      <c r="E29" s="58"/>
      <c r="F29" s="17">
        <f>Insurance100113126139152165178191204217230[[#This Row],[Budgeted
cost]]-Insurance100113126139152165178191204217230[[#This Row],[Actual
cost]]</f>
        <v>0</v>
      </c>
      <c r="G29" s="13"/>
      <c r="H29" s="18" t="s">
        <v>54</v>
      </c>
      <c r="I29" s="17"/>
      <c r="J29" s="17"/>
      <c r="K29" s="58"/>
      <c r="L29" s="17">
        <f>Pets97110123136149162175188201214227[[#This Row],[Budgeted
cost]]-Pets97110123136149162175188201214227[[#This Row],[Actual
cost]]</f>
        <v>0</v>
      </c>
    </row>
    <row r="30" spans="2:12">
      <c r="B30" s="18" t="s">
        <v>67</v>
      </c>
      <c r="C30" s="17"/>
      <c r="D30" s="17"/>
      <c r="E30" s="58"/>
      <c r="F30" s="17">
        <f>Insurance100113126139152165178191204217230[[#This Row],[Budgeted
cost]]-Insurance100113126139152165178191204217230[[#This Row],[Actual
cost]]</f>
        <v>0</v>
      </c>
      <c r="G30" s="13"/>
      <c r="H30" s="18" t="s">
        <v>68</v>
      </c>
      <c r="I30" s="17"/>
      <c r="J30" s="17"/>
      <c r="K30" s="58"/>
      <c r="L30" s="17">
        <f>Pets97110123136149162175188201214227[[#This Row],[Budgeted
cost]]-Pets97110123136149162175188201214227[[#This Row],[Actual
cost]]</f>
        <v>0</v>
      </c>
    </row>
    <row r="31" spans="2:12">
      <c r="B31" s="18" t="s">
        <v>49</v>
      </c>
      <c r="C31" s="17"/>
      <c r="D31" s="17"/>
      <c r="E31" s="58"/>
      <c r="F31" s="17">
        <f>Insurance100113126139152165178191204217230[[#This Row],[Budgeted
cost]]-Insurance100113126139152165178191204217230[[#This Row],[Actual
cost]]</f>
        <v>0</v>
      </c>
      <c r="G31" s="13"/>
      <c r="H31" s="18" t="s">
        <v>69</v>
      </c>
      <c r="I31" s="17"/>
      <c r="J31" s="17"/>
      <c r="K31" s="58"/>
      <c r="L31" s="17">
        <f>Pets97110123136149162175188201214227[[#This Row],[Budgeted
cost]]-Pets97110123136149162175188201214227[[#This Row],[Actual
cost]]</f>
        <v>0</v>
      </c>
    </row>
    <row r="32" spans="2:12">
      <c r="B32" s="18" t="s">
        <v>49</v>
      </c>
      <c r="C32" s="17"/>
      <c r="D32" s="17"/>
      <c r="E32" s="58"/>
      <c r="F32" s="17">
        <f>Insurance100113126139152165178191204217230[[#This Row],[Budgeted
cost]]-Insurance100113126139152165178191204217230[[#This Row],[Actual
cost]]</f>
        <v>0</v>
      </c>
      <c r="G32" s="13"/>
      <c r="H32" s="18" t="s">
        <v>49</v>
      </c>
      <c r="I32" s="17"/>
      <c r="J32" s="17"/>
      <c r="K32" s="58"/>
      <c r="L32" s="17">
        <f>Pets97110123136149162175188201214227[[#This Row],[Budgeted
cost]]-Pets97110123136149162175188201214227[[#This Row],[Actual
cost]]</f>
        <v>0</v>
      </c>
    </row>
    <row r="33" spans="2:12">
      <c r="B33" s="18" t="s">
        <v>31</v>
      </c>
      <c r="C33" s="19">
        <f>SUBTOTAL(109,Insurance100113126139152165178191204217230[Budgeted
cost])</f>
        <v>0</v>
      </c>
      <c r="D33" s="19">
        <f>SUBTOTAL(109,Insurance100113126139152165178191204217230[Actual
cost])</f>
        <v>0</v>
      </c>
      <c r="E33" s="61"/>
      <c r="F33" s="19">
        <f>SUBTOTAL(109,Insurance100113126139152165178191204217230[Difference])</f>
        <v>0</v>
      </c>
      <c r="G33" s="13"/>
      <c r="H33" s="18" t="s">
        <v>31</v>
      </c>
      <c r="I33" s="19">
        <f>SUBTOTAL(109,Pets97110123136149162175188201214227[Budgeted
cost])</f>
        <v>0</v>
      </c>
      <c r="J33" s="19">
        <f>SUBTOTAL(109,Pets97110123136149162175188201214227[Actual
cost])</f>
        <v>0</v>
      </c>
      <c r="K33" s="64"/>
      <c r="L33" s="19">
        <f>SUBTOTAL(109,Pets97110123136149162175188201214227[Difference])</f>
        <v>0</v>
      </c>
    </row>
    <row r="34" spans="2:12" ht="17.45">
      <c r="B34" s="7"/>
      <c r="C34" s="6"/>
      <c r="D34" s="6"/>
      <c r="E34" s="62"/>
      <c r="F34" s="13"/>
    </row>
    <row r="35" spans="2:12" ht="27.6">
      <c r="B35" s="22" t="s">
        <v>20</v>
      </c>
      <c r="C35" s="57" t="s">
        <v>9</v>
      </c>
      <c r="D35" s="21" t="s">
        <v>10</v>
      </c>
      <c r="E35" s="63" t="s">
        <v>37</v>
      </c>
      <c r="F35" s="21" t="s">
        <v>11</v>
      </c>
      <c r="H35" s="22" t="s">
        <v>21</v>
      </c>
      <c r="I35" s="21" t="s">
        <v>70</v>
      </c>
      <c r="J35" s="23" t="s">
        <v>71</v>
      </c>
      <c r="K35" s="63" t="s">
        <v>37</v>
      </c>
      <c r="L35" s="21" t="s">
        <v>11</v>
      </c>
    </row>
    <row r="36" spans="2:12">
      <c r="B36" s="18" t="s">
        <v>72</v>
      </c>
      <c r="C36" s="17"/>
      <c r="D36" s="17"/>
      <c r="E36" s="58"/>
      <c r="F36" s="17">
        <f>Food99112125138151164177190203216229[[#This Row],[Budgeted
cost]]-Food99112125138151164177190203216229[[#This Row],[Actual
cost]]</f>
        <v>0</v>
      </c>
      <c r="H36" s="18" t="s">
        <v>73</v>
      </c>
      <c r="I36" s="17"/>
      <c r="J36" s="17"/>
      <c r="K36" s="58"/>
      <c r="L36" s="17">
        <f>Taxes93106119132145158171184197210223[[#This Row],[Budgeted 
cost]]-Taxes93106119132145158171184197210223[[#This Row],[Actual 
cost]]</f>
        <v>0</v>
      </c>
    </row>
    <row r="37" spans="2:12">
      <c r="B37" s="18" t="s">
        <v>74</v>
      </c>
      <c r="C37" s="17"/>
      <c r="D37" s="17"/>
      <c r="E37" s="58"/>
      <c r="F37" s="17">
        <f>Food99112125138151164177190203216229[[#This Row],[Budgeted
cost]]-Food99112125138151164177190203216229[[#This Row],[Actual
cost]]</f>
        <v>0</v>
      </c>
      <c r="G37" s="13"/>
      <c r="H37" s="18" t="s">
        <v>75</v>
      </c>
      <c r="I37" s="17"/>
      <c r="J37" s="17"/>
      <c r="K37" s="58"/>
      <c r="L37" s="17">
        <f>Taxes93106119132145158171184197210223[[#This Row],[Budgeted 
cost]]-Taxes93106119132145158171184197210223[[#This Row],[Actual 
cost]]</f>
        <v>0</v>
      </c>
    </row>
    <row r="38" spans="2:12">
      <c r="B38" s="18" t="s">
        <v>76</v>
      </c>
      <c r="C38" s="17"/>
      <c r="D38" s="17"/>
      <c r="E38" s="58"/>
      <c r="F38" s="17">
        <f>Food99112125138151164177190203216229[[#This Row],[Budgeted
cost]]-Food99112125138151164177190203216229[[#This Row],[Actual
cost]]</f>
        <v>0</v>
      </c>
      <c r="G38" s="13"/>
      <c r="H38" s="18" t="s">
        <v>49</v>
      </c>
      <c r="I38" s="17"/>
      <c r="J38" s="17"/>
      <c r="K38" s="58"/>
      <c r="L38" s="17">
        <f>Taxes93106119132145158171184197210223[[#This Row],[Budgeted 
cost]]-Taxes93106119132145158171184197210223[[#This Row],[Actual 
cost]]</f>
        <v>0</v>
      </c>
    </row>
    <row r="39" spans="2:12">
      <c r="B39" s="18" t="s">
        <v>49</v>
      </c>
      <c r="C39" s="17"/>
      <c r="D39" s="17"/>
      <c r="E39" s="58"/>
      <c r="F39" s="17">
        <f>Food99112125138151164177190203216229[[#This Row],[Budgeted
cost]]-Food99112125138151164177190203216229[[#This Row],[Actual
cost]]</f>
        <v>0</v>
      </c>
      <c r="G39" s="13"/>
      <c r="H39" s="18" t="s">
        <v>49</v>
      </c>
      <c r="I39" s="17"/>
      <c r="J39" s="17"/>
      <c r="K39" s="58"/>
      <c r="L39" s="17">
        <f>Taxes93106119132145158171184197210223[[#This Row],[Budgeted 
cost]]-Taxes93106119132145158171184197210223[[#This Row],[Actual 
cost]]</f>
        <v>0</v>
      </c>
    </row>
    <row r="40" spans="2:12">
      <c r="B40" s="18" t="s">
        <v>49</v>
      </c>
      <c r="C40" s="17"/>
      <c r="D40" s="17"/>
      <c r="E40" s="58"/>
      <c r="F40" s="17">
        <f>Food99112125138151164177190203216229[[#This Row],[Budgeted
cost]]-Food99112125138151164177190203216229[[#This Row],[Actual
cost]]</f>
        <v>0</v>
      </c>
      <c r="G40" s="13"/>
      <c r="H40" s="18" t="s">
        <v>31</v>
      </c>
      <c r="I40" s="19">
        <f>SUBTOTAL(109,Taxes93106119132145158171184197210223[Budgeted 
cost])</f>
        <v>0</v>
      </c>
      <c r="J40" s="19">
        <f>SUBTOTAL(109,Taxes93106119132145158171184197210223[Actual 
cost])</f>
        <v>0</v>
      </c>
      <c r="K40" s="61"/>
      <c r="L40" s="19">
        <f>SUBTOTAL(109,Taxes93106119132145158171184197210223[Difference])</f>
        <v>0</v>
      </c>
    </row>
    <row r="41" spans="2:12" ht="15">
      <c r="B41" s="18" t="s">
        <v>31</v>
      </c>
      <c r="C41" s="19">
        <f>SUBTOTAL(109,Food99112125138151164177190203216229[Budgeted
cost])</f>
        <v>0</v>
      </c>
      <c r="D41" s="19">
        <f>SUBTOTAL(109,Food99112125138151164177190203216229[Actual
cost])</f>
        <v>0</v>
      </c>
      <c r="E41" s="61"/>
      <c r="F41" s="19">
        <f>SUBTOTAL(109,Food99112125138151164177190203216229[Difference])</f>
        <v>0</v>
      </c>
      <c r="G41" s="13"/>
      <c r="H41" s="3"/>
      <c r="I41" s="4"/>
      <c r="J41" s="4"/>
      <c r="K41" s="65"/>
    </row>
    <row r="42" spans="2:12" ht="24.6">
      <c r="B42" s="5"/>
      <c r="C42" s="6"/>
      <c r="D42" s="6"/>
      <c r="E42" s="62"/>
      <c r="F42" s="13"/>
      <c r="G42" s="13"/>
      <c r="I42" s="20"/>
      <c r="J42" s="20"/>
      <c r="K42" s="59"/>
    </row>
    <row r="43" spans="2:12" ht="27.6">
      <c r="B43" s="22" t="s">
        <v>22</v>
      </c>
      <c r="C43" s="21" t="s">
        <v>9</v>
      </c>
      <c r="D43" s="21" t="s">
        <v>10</v>
      </c>
      <c r="E43" s="63" t="s">
        <v>37</v>
      </c>
      <c r="F43" s="21" t="s">
        <v>11</v>
      </c>
      <c r="G43" s="13"/>
      <c r="H43" s="22" t="s">
        <v>16</v>
      </c>
      <c r="I43" s="21" t="s">
        <v>9</v>
      </c>
      <c r="J43" s="23" t="s">
        <v>10</v>
      </c>
      <c r="K43" s="63" t="s">
        <v>37</v>
      </c>
      <c r="L43" s="21" t="s">
        <v>11</v>
      </c>
    </row>
    <row r="44" spans="2:12">
      <c r="B44" s="18" t="s">
        <v>54</v>
      </c>
      <c r="C44" s="17"/>
      <c r="D44" s="17"/>
      <c r="E44" s="58"/>
      <c r="F44" s="17">
        <f>Children98111124137150163176189202215228[[#This Row],[Budgeted
cost]]-Children98111124137150163176189202215228[[#This Row],[Actual
cost]]</f>
        <v>0</v>
      </c>
      <c r="H44" s="18" t="s">
        <v>77</v>
      </c>
      <c r="I44" s="17"/>
      <c r="J44" s="17"/>
      <c r="K44" s="58"/>
      <c r="L44" s="17">
        <f>Loans94107120133146159172185198211224[[#This Row],[Budgeted
cost]]-Loans94107120133146159172185198211224[[#This Row],[Actual
cost]]</f>
        <v>0</v>
      </c>
    </row>
    <row r="45" spans="2:12">
      <c r="B45" s="18" t="s">
        <v>58</v>
      </c>
      <c r="C45" s="17"/>
      <c r="D45" s="17"/>
      <c r="E45" s="58"/>
      <c r="F45" s="17">
        <f>Children98111124137150163176189202215228[[#This Row],[Budgeted
cost]]-Children98111124137150163176189202215228[[#This Row],[Actual
cost]]</f>
        <v>0</v>
      </c>
      <c r="G45" s="13"/>
      <c r="H45" s="18" t="s">
        <v>78</v>
      </c>
      <c r="I45" s="17"/>
      <c r="J45" s="17"/>
      <c r="K45" s="58"/>
      <c r="L45" s="17">
        <f>Loans94107120133146159172185198211224[[#This Row],[Budgeted
cost]]-Loans94107120133146159172185198211224[[#This Row],[Actual
cost]]</f>
        <v>0</v>
      </c>
    </row>
    <row r="46" spans="2:12">
      <c r="B46" s="18" t="s">
        <v>79</v>
      </c>
      <c r="C46" s="17"/>
      <c r="D46" s="17"/>
      <c r="E46" s="58"/>
      <c r="F46" s="17">
        <f>Children98111124137150163176189202215228[[#This Row],[Budgeted
cost]]-Children98111124137150163176189202215228[[#This Row],[Actual
cost]]</f>
        <v>0</v>
      </c>
      <c r="G46" s="13"/>
      <c r="H46" s="18" t="s">
        <v>80</v>
      </c>
      <c r="I46" s="17"/>
      <c r="J46" s="17"/>
      <c r="K46" s="58"/>
      <c r="L46" s="17">
        <f>Loans94107120133146159172185198211224[[#This Row],[Budgeted
cost]]-Loans94107120133146159172185198211224[[#This Row],[Actual
cost]]</f>
        <v>0</v>
      </c>
    </row>
    <row r="47" spans="2:12">
      <c r="B47" s="18" t="s">
        <v>81</v>
      </c>
      <c r="C47" s="17"/>
      <c r="D47" s="17"/>
      <c r="E47" s="58"/>
      <c r="F47" s="17">
        <f>Children98111124137150163176189202215228[[#This Row],[Budgeted
cost]]-Children98111124137150163176189202215228[[#This Row],[Actual
cost]]</f>
        <v>0</v>
      </c>
      <c r="G47" s="13"/>
      <c r="H47" s="18" t="s">
        <v>80</v>
      </c>
      <c r="I47" s="17"/>
      <c r="J47" s="17"/>
      <c r="K47" s="58"/>
      <c r="L47" s="17">
        <f>Loans94107120133146159172185198211224[[#This Row],[Budgeted
cost]]-Loans94107120133146159172185198211224[[#This Row],[Actual
cost]]</f>
        <v>0</v>
      </c>
    </row>
    <row r="48" spans="2:12">
      <c r="B48" s="18" t="s">
        <v>63</v>
      </c>
      <c r="C48" s="17"/>
      <c r="D48" s="17"/>
      <c r="E48" s="58"/>
      <c r="F48" s="17">
        <f>Children98111124137150163176189202215228[[#This Row],[Budgeted
cost]]-Children98111124137150163176189202215228[[#This Row],[Actual
cost]]</f>
        <v>0</v>
      </c>
      <c r="G48" s="13"/>
      <c r="H48" s="18" t="s">
        <v>80</v>
      </c>
      <c r="I48" s="17"/>
      <c r="J48" s="17"/>
      <c r="K48" s="58"/>
      <c r="L48" s="17">
        <f>Loans94107120133146159172185198211224[[#This Row],[Budgeted
cost]]-Loans94107120133146159172185198211224[[#This Row],[Actual
cost]]</f>
        <v>0</v>
      </c>
    </row>
    <row r="49" spans="2:12">
      <c r="B49" s="18" t="s">
        <v>82</v>
      </c>
      <c r="C49" s="17"/>
      <c r="D49" s="17"/>
      <c r="E49" s="58"/>
      <c r="F49" s="17">
        <f>Children98111124137150163176189202215228[[#This Row],[Budgeted
cost]]-Children98111124137150163176189202215228[[#This Row],[Actual
cost]]</f>
        <v>0</v>
      </c>
      <c r="G49" s="13"/>
      <c r="H49" s="18" t="s">
        <v>49</v>
      </c>
      <c r="I49" s="17"/>
      <c r="J49" s="17"/>
      <c r="K49" s="58"/>
      <c r="L49" s="17">
        <f>Loans94107120133146159172185198211224[[#This Row],[Budgeted
cost]]-Loans94107120133146159172185198211224[[#This Row],[Actual
cost]]</f>
        <v>0</v>
      </c>
    </row>
    <row r="50" spans="2:12">
      <c r="B50" s="18" t="s">
        <v>83</v>
      </c>
      <c r="C50" s="17"/>
      <c r="D50" s="17"/>
      <c r="E50" s="58"/>
      <c r="F50" s="17">
        <f>Children98111124137150163176189202215228[[#This Row],[Budgeted
cost]]-Children98111124137150163176189202215228[[#This Row],[Actual
cost]]</f>
        <v>0</v>
      </c>
      <c r="G50" s="13"/>
      <c r="H50" s="18" t="s">
        <v>49</v>
      </c>
      <c r="I50" s="17"/>
      <c r="J50" s="17"/>
      <c r="K50" s="58"/>
      <c r="L50" s="17">
        <f>Loans94107120133146159172185198211224[[#This Row],[Budgeted
cost]]-Loans94107120133146159172185198211224[[#This Row],[Actual
cost]]</f>
        <v>0</v>
      </c>
    </row>
    <row r="51" spans="2:12">
      <c r="B51" s="18" t="s">
        <v>84</v>
      </c>
      <c r="C51" s="17"/>
      <c r="D51" s="17"/>
      <c r="E51" s="58"/>
      <c r="F51" s="17">
        <f>Children98111124137150163176189202215228[[#This Row],[Budgeted
cost]]-Children98111124137150163176189202215228[[#This Row],[Actual
cost]]</f>
        <v>0</v>
      </c>
      <c r="G51" s="13"/>
      <c r="H51" s="18" t="s">
        <v>31</v>
      </c>
      <c r="I51" s="19">
        <f>SUBTOTAL(109,Loans94107120133146159172185198211224[Budgeted
cost])</f>
        <v>0</v>
      </c>
      <c r="J51" s="19">
        <f>SUBTOTAL(109,Loans94107120133146159172185198211224[Actual
cost])</f>
        <v>0</v>
      </c>
      <c r="K51" s="61"/>
      <c r="L51" s="19">
        <f>SUBTOTAL(109,Loans94107120133146159172185198211224[Difference])</f>
        <v>0</v>
      </c>
    </row>
    <row r="52" spans="2:12">
      <c r="B52" s="18" t="s">
        <v>49</v>
      </c>
      <c r="C52" s="17"/>
      <c r="D52" s="17"/>
      <c r="E52" s="58"/>
      <c r="F52" s="17">
        <f>Children98111124137150163176189202215228[[#This Row],[Budgeted
cost]]-Children98111124137150163176189202215228[[#This Row],[Actual
cost]]</f>
        <v>0</v>
      </c>
      <c r="G52" s="13"/>
    </row>
    <row r="53" spans="2:12" ht="17.45">
      <c r="B53" s="18" t="s">
        <v>49</v>
      </c>
      <c r="C53" s="17"/>
      <c r="D53" s="17"/>
      <c r="E53" s="58"/>
      <c r="F53" s="17">
        <f>Children98111124137150163176189202215228[[#This Row],[Budgeted
cost]]-Children98111124137150163176189202215228[[#This Row],[Actual
cost]]</f>
        <v>0</v>
      </c>
      <c r="G53" s="13"/>
      <c r="H53" s="7"/>
      <c r="I53" s="6"/>
      <c r="J53" s="6"/>
      <c r="K53" s="62"/>
    </row>
    <row r="54" spans="2:12">
      <c r="B54" s="18" t="s">
        <v>31</v>
      </c>
      <c r="C54" s="19">
        <f>SUBTOTAL(109,Children98111124137150163176189202215228[Budgeted
cost])</f>
        <v>0</v>
      </c>
      <c r="D54" s="19">
        <f>SUBTOTAL(109,Children98111124137150163176189202215228[Actual
cost])</f>
        <v>0</v>
      </c>
      <c r="E54" s="61"/>
      <c r="F54" s="19">
        <f>SUBTOTAL(109,Children98111124137150163176189202215228[Difference])</f>
        <v>0</v>
      </c>
      <c r="G54" s="13"/>
    </row>
    <row r="55" spans="2:12" ht="15">
      <c r="B55" s="5"/>
      <c r="C55" s="6"/>
      <c r="D55" s="6"/>
      <c r="E55" s="62"/>
      <c r="F55" s="13"/>
      <c r="G55" s="13"/>
    </row>
    <row r="56" spans="2:12" ht="27.6">
      <c r="B56" s="22" t="s">
        <v>25</v>
      </c>
      <c r="C56" s="21" t="s">
        <v>9</v>
      </c>
      <c r="D56" s="21" t="s">
        <v>10</v>
      </c>
      <c r="E56" s="63" t="s">
        <v>37</v>
      </c>
      <c r="F56" s="21" t="s">
        <v>11</v>
      </c>
      <c r="G56" s="14"/>
      <c r="H56" s="22" t="s">
        <v>30</v>
      </c>
      <c r="I56" s="21" t="s">
        <v>9</v>
      </c>
      <c r="J56" s="23" t="s">
        <v>10</v>
      </c>
      <c r="K56" s="63" t="s">
        <v>37</v>
      </c>
      <c r="L56" s="21" t="s">
        <v>11</v>
      </c>
    </row>
    <row r="57" spans="2:12">
      <c r="B57" s="18" t="s">
        <v>85</v>
      </c>
      <c r="C57" s="17"/>
      <c r="D57" s="17"/>
      <c r="E57" s="58"/>
      <c r="F57" s="17">
        <f>Legal90103116129142155168181194207220[[#This Row],[Budgeted
cost]]-Legal90103116129142155168181194207220[[#This Row],[Actual
cost]]</f>
        <v>0</v>
      </c>
      <c r="H57" s="18" t="s">
        <v>86</v>
      </c>
      <c r="I57" s="17"/>
      <c r="J57" s="17"/>
      <c r="K57" s="58"/>
      <c r="L57" s="17">
        <f>Gifts91104117130143156169182195208221[[#This Row],[Budgeted
cost]]-Gifts91104117130143156169182195208221[[#This Row],[Actual
cost]]</f>
        <v>0</v>
      </c>
    </row>
    <row r="58" spans="2:12">
      <c r="B58" s="18" t="s">
        <v>87</v>
      </c>
      <c r="C58" s="17"/>
      <c r="D58" s="17"/>
      <c r="E58" s="58"/>
      <c r="F58" s="17">
        <f>Legal90103116129142155168181194207220[[#This Row],[Budgeted
cost]]-Legal90103116129142155168181194207220[[#This Row],[Actual
cost]]</f>
        <v>0</v>
      </c>
      <c r="G58" s="13"/>
      <c r="H58" s="18" t="s">
        <v>88</v>
      </c>
      <c r="I58" s="17"/>
      <c r="J58" s="17"/>
      <c r="K58" s="58"/>
      <c r="L58" s="17">
        <f>Gifts91104117130143156169182195208221[[#This Row],[Budgeted
cost]]-Gifts91104117130143156169182195208221[[#This Row],[Actual
cost]]</f>
        <v>0</v>
      </c>
    </row>
    <row r="59" spans="2:12">
      <c r="B59" s="18" t="s">
        <v>89</v>
      </c>
      <c r="C59" s="17"/>
      <c r="D59" s="17"/>
      <c r="E59" s="58"/>
      <c r="F59" s="17">
        <f>Legal90103116129142155168181194207220[[#This Row],[Budgeted
cost]]-Legal90103116129142155168181194207220[[#This Row],[Actual
cost]]</f>
        <v>0</v>
      </c>
      <c r="G59" s="13"/>
      <c r="H59" s="18" t="s">
        <v>90</v>
      </c>
      <c r="I59" s="17"/>
      <c r="J59" s="17"/>
      <c r="K59" s="58"/>
      <c r="L59" s="17">
        <f>Gifts91104117130143156169182195208221[[#This Row],[Budgeted
cost]]-Gifts91104117130143156169182195208221[[#This Row],[Actual
cost]]</f>
        <v>0</v>
      </c>
    </row>
    <row r="60" spans="2:12">
      <c r="B60" s="18" t="s">
        <v>49</v>
      </c>
      <c r="C60" s="17"/>
      <c r="D60" s="17"/>
      <c r="E60" s="58"/>
      <c r="F60" s="17">
        <f>Legal90103116129142155168181194207220[[#This Row],[Budgeted
cost]]-Legal90103116129142155168181194207220[[#This Row],[Actual
cost]]</f>
        <v>0</v>
      </c>
      <c r="G60" s="13"/>
      <c r="H60" s="18" t="s">
        <v>31</v>
      </c>
      <c r="I60" s="19">
        <f>SUBTOTAL(109,Gifts91104117130143156169182195208221[Budgeted
cost])</f>
        <v>0</v>
      </c>
      <c r="J60" s="19">
        <f>SUBTOTAL(109,Gifts91104117130143156169182195208221[Actual
cost])</f>
        <v>0</v>
      </c>
      <c r="K60" s="64"/>
      <c r="L60" s="19">
        <f>SUBTOTAL(109,Gifts91104117130143156169182195208221[Difference])</f>
        <v>0</v>
      </c>
    </row>
    <row r="61" spans="2:12">
      <c r="B61" s="18" t="s">
        <v>49</v>
      </c>
      <c r="C61" s="17"/>
      <c r="D61" s="17"/>
      <c r="E61" s="58"/>
      <c r="F61" s="17">
        <f>Legal90103116129142155168181194207220[[#This Row],[Budgeted
cost]]-Legal90103116129142155168181194207220[[#This Row],[Actual
cost]]</f>
        <v>0</v>
      </c>
      <c r="G61" s="13"/>
    </row>
    <row r="62" spans="2:12">
      <c r="B62" s="18" t="s">
        <v>31</v>
      </c>
      <c r="C62" s="19">
        <f>SUBTOTAL(109,Legal90103116129142155168181194207220[Budgeted
cost])</f>
        <v>0</v>
      </c>
      <c r="D62" s="19">
        <f>SUBTOTAL(109,Legal90103116129142155168181194207220[Actual
cost])</f>
        <v>0</v>
      </c>
      <c r="E62" s="61"/>
      <c r="F62" s="19">
        <f>SUBTOTAL(109,Legal90103116129142155168181194207220[Difference])</f>
        <v>0</v>
      </c>
      <c r="G62" s="13"/>
    </row>
    <row r="63" spans="2:12" ht="24.6">
      <c r="E63" s="12"/>
      <c r="G63" s="15"/>
      <c r="I63" s="20"/>
      <c r="J63" s="20"/>
      <c r="K63" s="59"/>
    </row>
    <row r="64" spans="2:12" ht="27.6">
      <c r="B64" s="22" t="s">
        <v>19</v>
      </c>
      <c r="C64" s="21" t="s">
        <v>9</v>
      </c>
      <c r="D64" s="23" t="s">
        <v>10</v>
      </c>
      <c r="E64" s="63" t="s">
        <v>37</v>
      </c>
      <c r="F64" s="21" t="s">
        <v>11</v>
      </c>
      <c r="G64" s="14"/>
    </row>
    <row r="65" spans="2:10">
      <c r="B65" s="18" t="s">
        <v>91</v>
      </c>
      <c r="C65" s="17"/>
      <c r="D65" s="17"/>
      <c r="E65" s="58"/>
      <c r="F65" s="17">
        <f>Entertainment95108121134147160173186199212225[[#This Row],[Budgeted
cost]]-Entertainment95108121134147160173186199212225[[#This Row],[Actual
cost]]</f>
        <v>0</v>
      </c>
    </row>
    <row r="66" spans="2:10">
      <c r="B66" s="18" t="s">
        <v>92</v>
      </c>
      <c r="C66" s="17"/>
      <c r="D66" s="17"/>
      <c r="E66" s="58"/>
      <c r="F66" s="17">
        <f>Entertainment95108121134147160173186199212225[[#This Row],[Budgeted
cost]]-Entertainment95108121134147160173186199212225[[#This Row],[Actual
cost]]</f>
        <v>0</v>
      </c>
      <c r="G66" s="13"/>
    </row>
    <row r="67" spans="2:10">
      <c r="B67" s="18" t="s">
        <v>93</v>
      </c>
      <c r="C67" s="17"/>
      <c r="D67" s="17"/>
      <c r="E67" s="58"/>
      <c r="F67" s="17">
        <f>Entertainment95108121134147160173186199212225[[#This Row],[Budgeted
cost]]-Entertainment95108121134147160173186199212225[[#This Row],[Actual
cost]]</f>
        <v>0</v>
      </c>
      <c r="G67" s="13"/>
    </row>
    <row r="68" spans="2:10">
      <c r="B68" s="18" t="s">
        <v>94</v>
      </c>
      <c r="C68" s="17"/>
      <c r="D68" s="17"/>
      <c r="E68" s="58"/>
      <c r="F68" s="17">
        <f>Entertainment95108121134147160173186199212225[[#This Row],[Budgeted
cost]]-Entertainment95108121134147160173186199212225[[#This Row],[Actual
cost]]</f>
        <v>0</v>
      </c>
    </row>
    <row r="69" spans="2:10">
      <c r="B69" s="18" t="s">
        <v>95</v>
      </c>
      <c r="C69" s="17"/>
      <c r="D69" s="17"/>
      <c r="E69" s="58"/>
      <c r="F69" s="17">
        <f>Entertainment95108121134147160173186199212225[[#This Row],[Budgeted
cost]]-Entertainment95108121134147160173186199212225[[#This Row],[Actual
cost]]</f>
        <v>0</v>
      </c>
    </row>
    <row r="70" spans="2:10">
      <c r="B70" s="18" t="s">
        <v>96</v>
      </c>
      <c r="C70" s="17"/>
      <c r="D70" s="17"/>
      <c r="E70" s="58"/>
      <c r="F70" s="17">
        <f>Entertainment95108121134147160173186199212225[[#This Row],[Budgeted
cost]]-Entertainment95108121134147160173186199212225[[#This Row],[Actual
cost]]</f>
        <v>0</v>
      </c>
    </row>
    <row r="71" spans="2:10">
      <c r="B71" s="18" t="s">
        <v>49</v>
      </c>
      <c r="C71" s="17"/>
      <c r="D71" s="17"/>
      <c r="E71" s="58"/>
      <c r="F71" s="17">
        <f>Entertainment95108121134147160173186199212225[[#This Row],[Budgeted
cost]]-Entertainment95108121134147160173186199212225[[#This Row],[Actual
cost]]</f>
        <v>0</v>
      </c>
    </row>
    <row r="72" spans="2:10">
      <c r="B72" s="18" t="s">
        <v>31</v>
      </c>
      <c r="C72" s="19">
        <f>SUBTOTAL(109,Entertainment95108121134147160173186199212225[Budgeted
cost])</f>
        <v>0</v>
      </c>
      <c r="D72" s="19">
        <f>SUBTOTAL(109,Entertainment95108121134147160173186199212225[Actual
cost])</f>
        <v>0</v>
      </c>
      <c r="E72" s="64"/>
      <c r="F72" s="19">
        <f>SUBTOTAL(109,Entertainment95108121134147160173186199212225[Difference])</f>
        <v>0</v>
      </c>
      <c r="J72" s="16"/>
    </row>
    <row r="73" spans="2:10">
      <c r="E73" s="12"/>
    </row>
    <row r="74" spans="2:10">
      <c r="E74" s="12"/>
    </row>
  </sheetData>
  <conditionalFormatting sqref="B1:B14 F1:F14 G1:G25 H3:L10 H16:L24 B16:F26 G27:G33 H28:L33 B28:F34 H36:L40 B36:F42 G37:G43 H41:K41 H44:L51 B44:F55 G45:G56 H53:K53 H57:L60 B57:F62 G58:G64 B65:F72 G66:G67">
    <cfRule type="cellIs" dxfId="99" priority="3" operator="lessThan">
      <formula>0</formula>
    </cfRule>
  </conditionalFormatting>
  <conditionalFormatting sqref="B3:F13">
    <cfRule type="cellIs" dxfId="98" priority="2" operator="lessThan">
      <formula>0</formula>
    </cfRule>
  </conditionalFormatting>
  <conditionalFormatting sqref="F3:F12">
    <cfRule type="iconSet" priority="1">
      <iconSet iconSet="3Arrows">
        <cfvo type="percentile" val="0"/>
        <cfvo type="num" val="-50"/>
        <cfvo type="num" val="50"/>
      </iconSet>
    </cfRule>
  </conditionalFormatting>
  <conditionalFormatting sqref="L28:L32 L57:L59 F65:F71 L36:L39 F16:F24 L44:L50 F28:F32 F36:F40 F44:F53 L16:L23 F57:F61 L3:L9">
    <cfRule type="iconSet" priority="4">
      <iconSet iconSet="3Arrows">
        <cfvo type="percentile" val="0"/>
        <cfvo type="num" val="-50"/>
        <cfvo type="num" val="50"/>
      </iconSet>
    </cfRule>
  </conditionalFormatting>
  <dataValidations count="1">
    <dataValidation allowBlank="1" showInputMessage="1" showErrorMessage="1" prompt="Enter details in Transportation table below and in Insurance table starting in cell B30" sqref="G1:G14 B1:B12 B14" xr:uid="{73AB0226-869E-48BD-AA94-99A0F7B48103}"/>
  </dataValidations>
  <pageMargins left="0.7" right="0.7" top="0.75" bottom="0.75" header="0.3" footer="0.3"/>
  <pageSetup orientation="landscape" horizontalDpi="1200" verticalDpi="1200" r:id="rId1"/>
  <headerFooter>
    <oddFooter>&amp;C&amp;P&amp;R&amp;G</oddFooter>
  </headerFooter>
  <legacyDrawingHF r:id="rId2"/>
  <tableParts count="13">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5CFC9-5FB6-421C-9D96-4A3E03406658}">
  <sheetPr>
    <tabColor theme="2" tint="-9.9978637043366805E-2"/>
  </sheetPr>
  <dimension ref="B1:L74"/>
  <sheetViews>
    <sheetView zoomScale="70" zoomScaleNormal="70" workbookViewId="0">
      <selection activeCell="I36" sqref="I36"/>
    </sheetView>
  </sheetViews>
  <sheetFormatPr defaultColWidth="9" defaultRowHeight="13.9"/>
  <cols>
    <col min="1" max="1" width="2.375" style="12" customWidth="1"/>
    <col min="2" max="2" width="29.75" style="12" bestFit="1" customWidth="1"/>
    <col min="3" max="3" width="13.5" style="12" bestFit="1" customWidth="1"/>
    <col min="4" max="4" width="10.25" style="12" bestFit="1" customWidth="1"/>
    <col min="5" max="5" width="14.875" style="66" bestFit="1" customWidth="1"/>
    <col min="6" max="6" width="14.25" style="12" bestFit="1" customWidth="1"/>
    <col min="7" max="7" width="5.5" style="12" customWidth="1"/>
    <col min="8" max="8" width="28.125" style="12" bestFit="1" customWidth="1"/>
    <col min="9" max="9" width="13.5" style="12" bestFit="1" customWidth="1"/>
    <col min="10" max="10" width="10.25" style="12" bestFit="1" customWidth="1"/>
    <col min="11" max="11" width="12.875" style="12" bestFit="1" customWidth="1"/>
    <col min="12" max="12" width="14.25" style="12" bestFit="1" customWidth="1"/>
    <col min="13" max="16384" width="9" style="12"/>
  </cols>
  <sheetData>
    <row r="1" spans="2:12" ht="15" customHeight="1">
      <c r="B1" s="56"/>
      <c r="C1" s="56"/>
      <c r="D1" s="56"/>
      <c r="E1" s="74"/>
      <c r="F1" s="75"/>
      <c r="G1" s="56"/>
      <c r="H1" s="56"/>
      <c r="I1" s="56"/>
      <c r="J1" s="56"/>
    </row>
    <row r="2" spans="2:12" ht="15" customHeight="1">
      <c r="B2" s="22" t="s">
        <v>13</v>
      </c>
      <c r="C2" s="21" t="s">
        <v>9</v>
      </c>
      <c r="D2" s="21" t="s">
        <v>10</v>
      </c>
      <c r="E2" s="57" t="s">
        <v>37</v>
      </c>
      <c r="F2" s="21" t="s">
        <v>11</v>
      </c>
      <c r="G2" s="56"/>
      <c r="H2" s="22" t="s">
        <v>29</v>
      </c>
      <c r="I2" s="21" t="s">
        <v>9</v>
      </c>
      <c r="J2" s="21" t="s">
        <v>10</v>
      </c>
      <c r="K2" s="63" t="s">
        <v>37</v>
      </c>
      <c r="L2" s="21" t="s">
        <v>11</v>
      </c>
    </row>
    <row r="3" spans="2:12" ht="15" customHeight="1">
      <c r="B3" s="18" t="s">
        <v>38</v>
      </c>
      <c r="C3" s="17"/>
      <c r="D3" s="17"/>
      <c r="E3" s="58"/>
      <c r="F3" s="17">
        <f>Housing[[#This Row],[Budgeted
cost]]-Housing[[#This Row],[Actual
cost]]</f>
        <v>0</v>
      </c>
      <c r="G3" s="56"/>
      <c r="H3" s="18" t="s">
        <v>39</v>
      </c>
      <c r="I3" s="17"/>
      <c r="J3" s="17"/>
      <c r="K3" s="58"/>
      <c r="L3" s="17">
        <f>Savings[[#This Row],[Budgeted
cost]]-Savings[[#This Row],[Actual
cost]]</f>
        <v>0</v>
      </c>
    </row>
    <row r="4" spans="2:12" ht="15" customHeight="1">
      <c r="B4" s="18" t="s">
        <v>40</v>
      </c>
      <c r="C4" s="17"/>
      <c r="D4" s="17"/>
      <c r="E4" s="58"/>
      <c r="F4" s="17">
        <f>Housing[[#This Row],[Budgeted
cost]]-Housing[[#This Row],[Actual
cost]]</f>
        <v>0</v>
      </c>
      <c r="G4" s="56"/>
      <c r="H4" s="18" t="s">
        <v>41</v>
      </c>
      <c r="I4" s="17"/>
      <c r="J4" s="17"/>
      <c r="K4" s="58"/>
      <c r="L4" s="17">
        <f>Savings[[#This Row],[Budgeted
cost]]-Savings[[#This Row],[Actual
cost]]</f>
        <v>0</v>
      </c>
    </row>
    <row r="5" spans="2:12" ht="15" customHeight="1">
      <c r="B5" s="18" t="s">
        <v>42</v>
      </c>
      <c r="C5" s="17"/>
      <c r="D5" s="17"/>
      <c r="E5" s="58"/>
      <c r="F5" s="17">
        <f>Housing[[#This Row],[Budgeted
cost]]-Housing[[#This Row],[Actual
cost]]</f>
        <v>0</v>
      </c>
      <c r="G5" s="56"/>
      <c r="H5" s="18" t="s">
        <v>43</v>
      </c>
      <c r="I5" s="17"/>
      <c r="J5" s="17"/>
      <c r="K5" s="58"/>
      <c r="L5" s="17">
        <f>Savings[[#This Row],[Budgeted
cost]]-Savings[[#This Row],[Actual
cost]]</f>
        <v>0</v>
      </c>
    </row>
    <row r="6" spans="2:12" ht="15" customHeight="1">
      <c r="B6" s="18" t="s">
        <v>44</v>
      </c>
      <c r="C6" s="17"/>
      <c r="D6" s="17"/>
      <c r="E6" s="58"/>
      <c r="F6" s="17">
        <f>Housing[[#This Row],[Budgeted
cost]]-Housing[[#This Row],[Actual
cost]]</f>
        <v>0</v>
      </c>
      <c r="G6" s="56"/>
      <c r="H6" s="18" t="s">
        <v>45</v>
      </c>
      <c r="I6" s="17"/>
      <c r="J6" s="17"/>
      <c r="K6" s="58"/>
      <c r="L6" s="17">
        <f>Savings[[#This Row],[Budgeted
cost]]-Savings[[#This Row],[Actual
cost]]</f>
        <v>0</v>
      </c>
    </row>
    <row r="7" spans="2:12" ht="15" customHeight="1">
      <c r="B7" s="18" t="s">
        <v>46</v>
      </c>
      <c r="C7" s="17"/>
      <c r="D7" s="17"/>
      <c r="E7" s="58"/>
      <c r="F7" s="17">
        <f>Housing[[#This Row],[Budgeted
cost]]-Housing[[#This Row],[Actual
cost]]</f>
        <v>0</v>
      </c>
      <c r="G7" s="56"/>
      <c r="H7" s="18" t="s">
        <v>47</v>
      </c>
      <c r="I7" s="17"/>
      <c r="J7" s="17"/>
      <c r="K7" s="58"/>
      <c r="L7" s="17">
        <f>Savings[[#This Row],[Budgeted
cost]]-Savings[[#This Row],[Actual
cost]]</f>
        <v>0</v>
      </c>
    </row>
    <row r="8" spans="2:12" ht="15" customHeight="1">
      <c r="B8" s="18" t="s">
        <v>48</v>
      </c>
      <c r="C8" s="17"/>
      <c r="D8" s="17"/>
      <c r="E8" s="58"/>
      <c r="F8" s="17">
        <f>Housing[[#This Row],[Budgeted
cost]]-Housing[[#This Row],[Actual
cost]]</f>
        <v>0</v>
      </c>
      <c r="G8" s="56"/>
      <c r="H8" s="18" t="s">
        <v>49</v>
      </c>
      <c r="I8" s="17"/>
      <c r="J8" s="17"/>
      <c r="K8" s="58"/>
      <c r="L8" s="17">
        <f>Savings[[#This Row],[Budgeted
cost]]-Savings[[#This Row],[Actual
cost]]</f>
        <v>0</v>
      </c>
    </row>
    <row r="9" spans="2:12" ht="15" customHeight="1">
      <c r="B9" s="18" t="s">
        <v>50</v>
      </c>
      <c r="C9" s="17"/>
      <c r="D9" s="17"/>
      <c r="E9" s="58"/>
      <c r="F9" s="17">
        <f>Housing[[#This Row],[Budgeted
cost]]-Housing[[#This Row],[Actual
cost]]</f>
        <v>0</v>
      </c>
      <c r="G9" s="56"/>
      <c r="H9" s="18" t="s">
        <v>49</v>
      </c>
      <c r="I9" s="17"/>
      <c r="J9" s="17"/>
      <c r="K9" s="58"/>
      <c r="L9" s="17">
        <f>Savings[[#This Row],[Budgeted
cost]]-Savings[[#This Row],[Actual
cost]]</f>
        <v>0</v>
      </c>
    </row>
    <row r="10" spans="2:12" ht="15" customHeight="1">
      <c r="B10" s="18" t="s">
        <v>51</v>
      </c>
      <c r="C10" s="17"/>
      <c r="D10" s="17"/>
      <c r="E10" s="58"/>
      <c r="F10" s="17">
        <f>Housing[[#This Row],[Budgeted
cost]]-Housing[[#This Row],[Actual
cost]]</f>
        <v>0</v>
      </c>
      <c r="G10" s="56"/>
      <c r="H10" s="18" t="s">
        <v>31</v>
      </c>
      <c r="I10" s="19">
        <f>SUBTOTAL(109,Savings[Budgeted
cost])</f>
        <v>0</v>
      </c>
      <c r="J10" s="19">
        <f>SUBTOTAL(109,Savings[Actual
cost])</f>
        <v>0</v>
      </c>
      <c r="K10" s="61"/>
      <c r="L10" s="19">
        <f>SUBTOTAL(109,Savings[Difference])</f>
        <v>0</v>
      </c>
    </row>
    <row r="11" spans="2:12" ht="15" customHeight="1">
      <c r="B11" s="18" t="s">
        <v>52</v>
      </c>
      <c r="C11" s="17"/>
      <c r="D11" s="17"/>
      <c r="E11" s="58"/>
      <c r="F11" s="17">
        <f>Housing[[#This Row],[Budgeted
cost]]-Housing[[#This Row],[Actual
cost]]</f>
        <v>0</v>
      </c>
      <c r="G11" s="56"/>
      <c r="H11" s="56"/>
      <c r="I11" s="56"/>
      <c r="J11" s="56"/>
    </row>
    <row r="12" spans="2:12" ht="15" customHeight="1">
      <c r="B12" s="18" t="s">
        <v>49</v>
      </c>
      <c r="C12" s="17"/>
      <c r="D12" s="17"/>
      <c r="E12" s="58"/>
      <c r="F12" s="17">
        <f>Housing[[#This Row],[Budgeted
cost]]-Housing[[#This Row],[Actual
cost]]</f>
        <v>0</v>
      </c>
      <c r="G12" s="56"/>
    </row>
    <row r="13" spans="2:12" ht="15" customHeight="1">
      <c r="B13" s="18" t="s">
        <v>31</v>
      </c>
      <c r="C13" s="19">
        <f>SUBTOTAL(109,Housing[Budgeted
cost])</f>
        <v>0</v>
      </c>
      <c r="D13" s="19">
        <f>SUBTOTAL(109,Housing[Actual
cost])</f>
        <v>0</v>
      </c>
      <c r="E13"/>
      <c r="F13" s="19">
        <f>SUBTOTAL(109,Housing[Difference])</f>
        <v>0</v>
      </c>
      <c r="G13" s="56"/>
    </row>
    <row r="14" spans="2:12" ht="15" customHeight="1">
      <c r="B14" s="56"/>
      <c r="C14" s="56"/>
      <c r="D14" s="56"/>
      <c r="E14" s="74"/>
      <c r="F14" s="75"/>
      <c r="G14" s="56"/>
    </row>
    <row r="15" spans="2:12" ht="27.6">
      <c r="B15" s="22" t="s">
        <v>15</v>
      </c>
      <c r="C15" s="21" t="s">
        <v>9</v>
      </c>
      <c r="D15" s="21" t="s">
        <v>10</v>
      </c>
      <c r="E15" s="60" t="s">
        <v>37</v>
      </c>
      <c r="F15" s="21" t="s">
        <v>11</v>
      </c>
      <c r="G15" s="13"/>
      <c r="H15" s="22" t="s">
        <v>23</v>
      </c>
      <c r="I15" s="21" t="s">
        <v>9</v>
      </c>
      <c r="J15" s="23" t="s">
        <v>10</v>
      </c>
      <c r="K15" s="63" t="s">
        <v>37</v>
      </c>
      <c r="L15" s="21" t="s">
        <v>11</v>
      </c>
    </row>
    <row r="16" spans="2:12">
      <c r="B16" s="18" t="s">
        <v>53</v>
      </c>
      <c r="C16" s="17"/>
      <c r="D16" s="17"/>
      <c r="E16" s="58"/>
      <c r="F16" s="17">
        <f>Transportation[[#This Row],[Budgeted
cost]]-Transportation[[#This Row],[Actual
cost]]</f>
        <v>0</v>
      </c>
      <c r="G16" s="13"/>
      <c r="H16" s="18" t="s">
        <v>54</v>
      </c>
      <c r="I16" s="17"/>
      <c r="J16" s="17"/>
      <c r="K16" s="58"/>
      <c r="L16" s="17">
        <f>PersonalCare[[#This Row],[Budgeted
cost]]-PersonalCare[[#This Row],[Actual
cost]]</f>
        <v>0</v>
      </c>
    </row>
    <row r="17" spans="2:12">
      <c r="B17" s="18" t="s">
        <v>55</v>
      </c>
      <c r="C17" s="17"/>
      <c r="D17" s="17"/>
      <c r="E17" s="58"/>
      <c r="F17" s="17">
        <f>Transportation[[#This Row],[Budgeted
cost]]-Transportation[[#This Row],[Actual
cost]]</f>
        <v>0</v>
      </c>
      <c r="G17" s="13"/>
      <c r="H17" s="18" t="s">
        <v>56</v>
      </c>
      <c r="I17" s="17"/>
      <c r="J17" s="17"/>
      <c r="K17" s="58"/>
      <c r="L17" s="17">
        <f>PersonalCare[[#This Row],[Budgeted
cost]]-PersonalCare[[#This Row],[Actual
cost]]</f>
        <v>0</v>
      </c>
    </row>
    <row r="18" spans="2:12">
      <c r="B18" s="18" t="s">
        <v>57</v>
      </c>
      <c r="C18" s="17"/>
      <c r="D18" s="17"/>
      <c r="E18" s="58"/>
      <c r="F18" s="17">
        <f>Transportation[[#This Row],[Budgeted
cost]]-Transportation[[#This Row],[Actual
cost]]</f>
        <v>0</v>
      </c>
      <c r="G18" s="13"/>
      <c r="H18" s="18" t="s">
        <v>58</v>
      </c>
      <c r="I18" s="17"/>
      <c r="J18" s="17"/>
      <c r="K18" s="58"/>
      <c r="L18" s="17">
        <f>PersonalCare[[#This Row],[Budgeted
cost]]-PersonalCare[[#This Row],[Actual
cost]]</f>
        <v>0</v>
      </c>
    </row>
    <row r="19" spans="2:12">
      <c r="B19" s="18" t="s">
        <v>18</v>
      </c>
      <c r="C19" s="17"/>
      <c r="D19" s="17"/>
      <c r="E19" s="58"/>
      <c r="F19" s="17">
        <f>Transportation[[#This Row],[Budgeted
cost]]-Transportation[[#This Row],[Actual
cost]]</f>
        <v>0</v>
      </c>
      <c r="G19" s="13"/>
      <c r="H19" s="18" t="s">
        <v>59</v>
      </c>
      <c r="I19" s="17"/>
      <c r="J19" s="17"/>
      <c r="K19" s="58"/>
      <c r="L19" s="17">
        <f>PersonalCare[[#This Row],[Budgeted
cost]]-PersonalCare[[#This Row],[Actual
cost]]</f>
        <v>0</v>
      </c>
    </row>
    <row r="20" spans="2:12">
      <c r="B20" s="18" t="s">
        <v>60</v>
      </c>
      <c r="C20" s="17"/>
      <c r="D20" s="17"/>
      <c r="E20" s="58"/>
      <c r="F20" s="17">
        <f>Transportation[[#This Row],[Budgeted
cost]]-Transportation[[#This Row],[Actual
cost]]</f>
        <v>0</v>
      </c>
      <c r="G20" s="13"/>
      <c r="H20" s="18" t="s">
        <v>61</v>
      </c>
      <c r="I20" s="17"/>
      <c r="J20" s="17"/>
      <c r="K20" s="58"/>
      <c r="L20" s="17">
        <f>PersonalCare[[#This Row],[Budgeted
cost]]-PersonalCare[[#This Row],[Actual
cost]]</f>
        <v>0</v>
      </c>
    </row>
    <row r="21" spans="2:12">
      <c r="B21" s="18" t="s">
        <v>62</v>
      </c>
      <c r="C21" s="17"/>
      <c r="D21" s="17"/>
      <c r="E21" s="58"/>
      <c r="F21" s="17">
        <f>Transportation[[#This Row],[Budgeted
cost]]-Transportation[[#This Row],[Actual
cost]]</f>
        <v>0</v>
      </c>
      <c r="G21" s="13"/>
      <c r="H21" s="18" t="s">
        <v>63</v>
      </c>
      <c r="I21" s="17"/>
      <c r="J21" s="17"/>
      <c r="K21" s="58"/>
      <c r="L21" s="17">
        <f>PersonalCare[[#This Row],[Budgeted
cost]]-PersonalCare[[#This Row],[Actual
cost]]</f>
        <v>0</v>
      </c>
    </row>
    <row r="22" spans="2:12">
      <c r="B22" s="18" t="s">
        <v>64</v>
      </c>
      <c r="C22" s="17"/>
      <c r="D22" s="17"/>
      <c r="E22" s="58"/>
      <c r="F22" s="17">
        <f>Transportation[[#This Row],[Budgeted
cost]]-Transportation[[#This Row],[Actual
cost]]</f>
        <v>0</v>
      </c>
      <c r="G22" s="13"/>
      <c r="H22" s="18" t="s">
        <v>49</v>
      </c>
      <c r="I22" s="17"/>
      <c r="J22" s="17"/>
      <c r="K22" s="58"/>
      <c r="L22" s="17">
        <f>PersonalCare[[#This Row],[Budgeted
cost]]-PersonalCare[[#This Row],[Actual
cost]]</f>
        <v>0</v>
      </c>
    </row>
    <row r="23" spans="2:12">
      <c r="B23" s="18" t="s">
        <v>49</v>
      </c>
      <c r="C23" s="17"/>
      <c r="D23" s="17"/>
      <c r="E23" s="58"/>
      <c r="F23" s="17">
        <f>Transportation[[#This Row],[Budgeted
cost]]-Transportation[[#This Row],[Actual
cost]]</f>
        <v>0</v>
      </c>
      <c r="G23" s="13"/>
      <c r="H23" s="18" t="s">
        <v>49</v>
      </c>
      <c r="I23" s="17"/>
      <c r="J23" s="17"/>
      <c r="K23" s="58"/>
      <c r="L23" s="17">
        <f>PersonalCare[[#This Row],[Budgeted
cost]]-PersonalCare[[#This Row],[Actual
cost]]</f>
        <v>0</v>
      </c>
    </row>
    <row r="24" spans="2:12">
      <c r="B24" s="18" t="s">
        <v>49</v>
      </c>
      <c r="C24" s="17"/>
      <c r="D24" s="17"/>
      <c r="E24" s="58"/>
      <c r="F24" s="17">
        <f>Transportation[[#This Row],[Budgeted
cost]]-Transportation[[#This Row],[Actual
cost]]</f>
        <v>0</v>
      </c>
      <c r="G24" s="13"/>
      <c r="H24" s="18" t="s">
        <v>31</v>
      </c>
      <c r="I24" s="19">
        <f>SUBTOTAL(109,PersonalCare[Budgeted
cost])</f>
        <v>0</v>
      </c>
      <c r="J24" s="19">
        <f>SUBTOTAL(109,PersonalCare[Actual
cost])</f>
        <v>0</v>
      </c>
      <c r="K24" s="61"/>
      <c r="L24" s="19">
        <f>SUBTOTAL(109,PersonalCare[Difference])</f>
        <v>0</v>
      </c>
    </row>
    <row r="25" spans="2:12">
      <c r="B25" s="18" t="s">
        <v>31</v>
      </c>
      <c r="C25" s="19">
        <f>SUBTOTAL(109,Transportation[Budgeted
cost])</f>
        <v>0</v>
      </c>
      <c r="D25" s="19">
        <f>SUBTOTAL(109,Transportation[Actual
cost])</f>
        <v>0</v>
      </c>
      <c r="E25" s="61"/>
      <c r="F25" s="19">
        <f>SUBTOTAL(109,Transportation[Difference])</f>
        <v>0</v>
      </c>
      <c r="G25" s="13"/>
    </row>
    <row r="26" spans="2:12" ht="17.45">
      <c r="B26" s="7"/>
      <c r="C26" s="6"/>
      <c r="D26" s="6"/>
      <c r="E26" s="62"/>
      <c r="F26" s="13"/>
    </row>
    <row r="27" spans="2:12" ht="27.6">
      <c r="B27" s="22" t="s">
        <v>18</v>
      </c>
      <c r="C27" s="21" t="s">
        <v>9</v>
      </c>
      <c r="D27" s="21" t="s">
        <v>10</v>
      </c>
      <c r="E27" s="63" t="s">
        <v>37</v>
      </c>
      <c r="F27" s="21" t="s">
        <v>11</v>
      </c>
      <c r="G27" s="13"/>
      <c r="H27" s="22" t="s">
        <v>27</v>
      </c>
      <c r="I27" s="21" t="s">
        <v>9</v>
      </c>
      <c r="J27" s="23" t="s">
        <v>10</v>
      </c>
      <c r="K27" s="63" t="s">
        <v>37</v>
      </c>
      <c r="L27" s="21" t="s">
        <v>11</v>
      </c>
    </row>
    <row r="28" spans="2:12">
      <c r="B28" s="18" t="s">
        <v>65</v>
      </c>
      <c r="C28" s="17"/>
      <c r="D28" s="17"/>
      <c r="E28" s="58"/>
      <c r="F28" s="17">
        <f>Insurance[[#This Row],[Budgeted
cost]]-Insurance[[#This Row],[Actual
cost]]</f>
        <v>0</v>
      </c>
      <c r="G28" s="13"/>
      <c r="H28" s="18" t="s">
        <v>20</v>
      </c>
      <c r="I28" s="17"/>
      <c r="J28" s="17"/>
      <c r="K28" s="58"/>
      <c r="L28" s="17">
        <f>Pets[[#This Row],[Budgeted
cost]]-Pets[[#This Row],[Actual
cost]]</f>
        <v>0</v>
      </c>
    </row>
    <row r="29" spans="2:12">
      <c r="B29" s="18" t="s">
        <v>66</v>
      </c>
      <c r="C29" s="17"/>
      <c r="D29" s="17"/>
      <c r="E29" s="58"/>
      <c r="F29" s="17">
        <f>Insurance[[#This Row],[Budgeted
cost]]-Insurance[[#This Row],[Actual
cost]]</f>
        <v>0</v>
      </c>
      <c r="G29" s="13"/>
      <c r="H29" s="18" t="s">
        <v>54</v>
      </c>
      <c r="I29" s="17"/>
      <c r="J29" s="17"/>
      <c r="K29" s="58"/>
      <c r="L29" s="17">
        <f>Pets[[#This Row],[Budgeted
cost]]-Pets[[#This Row],[Actual
cost]]</f>
        <v>0</v>
      </c>
    </row>
    <row r="30" spans="2:12">
      <c r="B30" s="18" t="s">
        <v>67</v>
      </c>
      <c r="C30" s="17"/>
      <c r="D30" s="17"/>
      <c r="E30" s="58"/>
      <c r="F30" s="17">
        <f>Insurance[[#This Row],[Budgeted
cost]]-Insurance[[#This Row],[Actual
cost]]</f>
        <v>0</v>
      </c>
      <c r="G30" s="13"/>
      <c r="H30" s="18" t="s">
        <v>68</v>
      </c>
      <c r="I30" s="17"/>
      <c r="J30" s="17"/>
      <c r="K30" s="58"/>
      <c r="L30" s="17">
        <f>Pets[[#This Row],[Budgeted
cost]]-Pets[[#This Row],[Actual
cost]]</f>
        <v>0</v>
      </c>
    </row>
    <row r="31" spans="2:12">
      <c r="B31" s="18" t="s">
        <v>49</v>
      </c>
      <c r="C31" s="17"/>
      <c r="D31" s="17"/>
      <c r="E31" s="58"/>
      <c r="F31" s="17">
        <f>Insurance[[#This Row],[Budgeted
cost]]-Insurance[[#This Row],[Actual
cost]]</f>
        <v>0</v>
      </c>
      <c r="G31" s="13"/>
      <c r="H31" s="18" t="s">
        <v>69</v>
      </c>
      <c r="I31" s="17"/>
      <c r="J31" s="17"/>
      <c r="K31" s="58"/>
      <c r="L31" s="17">
        <f>Pets[[#This Row],[Budgeted
cost]]-Pets[[#This Row],[Actual
cost]]</f>
        <v>0</v>
      </c>
    </row>
    <row r="32" spans="2:12">
      <c r="B32" s="18" t="s">
        <v>49</v>
      </c>
      <c r="C32" s="17"/>
      <c r="D32" s="17"/>
      <c r="E32" s="58"/>
      <c r="F32" s="17">
        <f>Insurance[[#This Row],[Budgeted
cost]]-Insurance[[#This Row],[Actual
cost]]</f>
        <v>0</v>
      </c>
      <c r="G32" s="13"/>
      <c r="H32" s="18" t="s">
        <v>49</v>
      </c>
      <c r="I32" s="17"/>
      <c r="J32" s="17"/>
      <c r="K32" s="58"/>
      <c r="L32" s="17">
        <f>Pets[[#This Row],[Budgeted
cost]]-Pets[[#This Row],[Actual
cost]]</f>
        <v>0</v>
      </c>
    </row>
    <row r="33" spans="2:12">
      <c r="B33" s="18" t="s">
        <v>31</v>
      </c>
      <c r="C33" s="19">
        <f>SUBTOTAL(109,Insurance[Budgeted
cost])</f>
        <v>0</v>
      </c>
      <c r="D33" s="19">
        <f>SUBTOTAL(109,Insurance[Actual
cost])</f>
        <v>0</v>
      </c>
      <c r="E33" s="61"/>
      <c r="F33" s="19">
        <f>SUBTOTAL(109,Insurance[Difference])</f>
        <v>0</v>
      </c>
      <c r="G33" s="13"/>
      <c r="H33" s="18" t="s">
        <v>31</v>
      </c>
      <c r="I33" s="19">
        <f>SUBTOTAL(109,Pets[Budgeted
cost])</f>
        <v>0</v>
      </c>
      <c r="J33" s="19">
        <f>SUBTOTAL(109,Pets[Actual
cost])</f>
        <v>0</v>
      </c>
      <c r="K33" s="64"/>
      <c r="L33" s="19">
        <f>SUBTOTAL(109,Pets[Difference])</f>
        <v>0</v>
      </c>
    </row>
    <row r="34" spans="2:12" ht="17.45">
      <c r="B34" s="7"/>
      <c r="C34" s="6"/>
      <c r="D34" s="6"/>
      <c r="E34" s="62"/>
      <c r="F34" s="13"/>
    </row>
    <row r="35" spans="2:12" ht="27.6">
      <c r="B35" s="22" t="s">
        <v>20</v>
      </c>
      <c r="C35" s="57" t="s">
        <v>9</v>
      </c>
      <c r="D35" s="21" t="s">
        <v>10</v>
      </c>
      <c r="E35" s="63" t="s">
        <v>37</v>
      </c>
      <c r="F35" s="21" t="s">
        <v>11</v>
      </c>
      <c r="H35" s="22" t="s">
        <v>21</v>
      </c>
      <c r="I35" s="21" t="s">
        <v>70</v>
      </c>
      <c r="J35" s="23" t="s">
        <v>71</v>
      </c>
      <c r="K35" s="63" t="s">
        <v>37</v>
      </c>
      <c r="L35" s="21" t="s">
        <v>11</v>
      </c>
    </row>
    <row r="36" spans="2:12">
      <c r="B36" s="18" t="s">
        <v>72</v>
      </c>
      <c r="C36" s="17"/>
      <c r="D36" s="17"/>
      <c r="E36" s="58"/>
      <c r="F36" s="17">
        <f>Food[[#This Row],[Budgeted
cost]]-Food[[#This Row],[Actual
cost]]</f>
        <v>0</v>
      </c>
      <c r="H36" s="18" t="s">
        <v>73</v>
      </c>
      <c r="I36" s="17"/>
      <c r="J36" s="17"/>
      <c r="K36" s="58"/>
      <c r="L36" s="17">
        <f>Taxes[[#This Row],[Budgeted 
cost]]-Taxes[[#This Row],[Actual 
cost]]</f>
        <v>0</v>
      </c>
    </row>
    <row r="37" spans="2:12">
      <c r="B37" s="18" t="s">
        <v>74</v>
      </c>
      <c r="C37" s="17"/>
      <c r="D37" s="17"/>
      <c r="E37" s="58"/>
      <c r="F37" s="17">
        <f>Food[[#This Row],[Budgeted
cost]]-Food[[#This Row],[Actual
cost]]</f>
        <v>0</v>
      </c>
      <c r="G37" s="13"/>
      <c r="H37" s="18" t="s">
        <v>75</v>
      </c>
      <c r="I37" s="17"/>
      <c r="J37" s="17"/>
      <c r="K37" s="58"/>
      <c r="L37" s="17">
        <f>Taxes[[#This Row],[Budgeted 
cost]]-Taxes[[#This Row],[Actual 
cost]]</f>
        <v>0</v>
      </c>
    </row>
    <row r="38" spans="2:12">
      <c r="B38" s="18" t="s">
        <v>76</v>
      </c>
      <c r="C38" s="17"/>
      <c r="D38" s="17"/>
      <c r="E38" s="58"/>
      <c r="F38" s="17">
        <f>Food[[#This Row],[Budgeted
cost]]-Food[[#This Row],[Actual
cost]]</f>
        <v>0</v>
      </c>
      <c r="G38" s="13"/>
      <c r="H38" s="18" t="s">
        <v>49</v>
      </c>
      <c r="I38" s="17"/>
      <c r="J38" s="17"/>
      <c r="K38" s="58"/>
      <c r="L38" s="17">
        <f>Taxes[[#This Row],[Budgeted 
cost]]-Taxes[[#This Row],[Actual 
cost]]</f>
        <v>0</v>
      </c>
    </row>
    <row r="39" spans="2:12">
      <c r="B39" s="18" t="s">
        <v>49</v>
      </c>
      <c r="C39" s="17"/>
      <c r="D39" s="17"/>
      <c r="E39" s="58"/>
      <c r="F39" s="17">
        <f>Food[[#This Row],[Budgeted
cost]]-Food[[#This Row],[Actual
cost]]</f>
        <v>0</v>
      </c>
      <c r="G39" s="13"/>
      <c r="H39" s="18" t="s">
        <v>49</v>
      </c>
      <c r="I39" s="17"/>
      <c r="J39" s="17"/>
      <c r="K39" s="58"/>
      <c r="L39" s="17">
        <f>Taxes[[#This Row],[Budgeted 
cost]]-Taxes[[#This Row],[Actual 
cost]]</f>
        <v>0</v>
      </c>
    </row>
    <row r="40" spans="2:12">
      <c r="B40" s="18" t="s">
        <v>49</v>
      </c>
      <c r="C40" s="17"/>
      <c r="D40" s="17"/>
      <c r="E40" s="58"/>
      <c r="F40" s="17">
        <f>Food[[#This Row],[Budgeted
cost]]-Food[[#This Row],[Actual
cost]]</f>
        <v>0</v>
      </c>
      <c r="G40" s="13"/>
      <c r="H40" s="18" t="s">
        <v>31</v>
      </c>
      <c r="I40" s="19">
        <f>SUBTOTAL(109,Taxes[Budgeted 
cost])</f>
        <v>0</v>
      </c>
      <c r="J40" s="19">
        <f>SUBTOTAL(109,Taxes[Actual 
cost])</f>
        <v>0</v>
      </c>
      <c r="K40" s="61"/>
      <c r="L40" s="19">
        <f>SUBTOTAL(109,Taxes[Difference])</f>
        <v>0</v>
      </c>
    </row>
    <row r="41" spans="2:12" ht="15">
      <c r="B41" s="18" t="s">
        <v>31</v>
      </c>
      <c r="C41" s="19">
        <f>SUBTOTAL(109,Food[Budgeted
cost])</f>
        <v>0</v>
      </c>
      <c r="D41" s="19">
        <f>SUBTOTAL(109,Food[Actual
cost])</f>
        <v>0</v>
      </c>
      <c r="E41" s="61"/>
      <c r="F41" s="19">
        <f>SUBTOTAL(109,Food[Difference])</f>
        <v>0</v>
      </c>
      <c r="G41" s="13"/>
      <c r="H41" s="3"/>
      <c r="I41" s="4"/>
      <c r="J41" s="4"/>
      <c r="K41" s="65"/>
    </row>
    <row r="42" spans="2:12" ht="24.6">
      <c r="B42" s="5"/>
      <c r="C42" s="6"/>
      <c r="D42" s="6"/>
      <c r="E42" s="62"/>
      <c r="F42" s="13"/>
      <c r="G42" s="13"/>
      <c r="I42" s="20"/>
      <c r="J42" s="20"/>
      <c r="K42" s="59"/>
    </row>
    <row r="43" spans="2:12" ht="27.6">
      <c r="B43" s="22" t="s">
        <v>22</v>
      </c>
      <c r="C43" s="21" t="s">
        <v>9</v>
      </c>
      <c r="D43" s="21" t="s">
        <v>10</v>
      </c>
      <c r="E43" s="63" t="s">
        <v>37</v>
      </c>
      <c r="F43" s="21" t="s">
        <v>11</v>
      </c>
      <c r="G43" s="13"/>
      <c r="H43" s="22" t="s">
        <v>16</v>
      </c>
      <c r="I43" s="21" t="s">
        <v>9</v>
      </c>
      <c r="J43" s="23" t="s">
        <v>10</v>
      </c>
      <c r="K43" s="63" t="s">
        <v>37</v>
      </c>
      <c r="L43" s="21" t="s">
        <v>11</v>
      </c>
    </row>
    <row r="44" spans="2:12">
      <c r="B44" s="18" t="s">
        <v>54</v>
      </c>
      <c r="C44" s="17"/>
      <c r="D44" s="17"/>
      <c r="E44" s="58"/>
      <c r="F44" s="17">
        <f>Children[[#This Row],[Budgeted
cost]]-Children[[#This Row],[Actual
cost]]</f>
        <v>0</v>
      </c>
      <c r="H44" s="18" t="s">
        <v>77</v>
      </c>
      <c r="I44" s="17"/>
      <c r="J44" s="17"/>
      <c r="K44" s="58"/>
      <c r="L44" s="17">
        <f>Loans[[#This Row],[Budgeted
cost]]-Loans[[#This Row],[Actual
cost]]</f>
        <v>0</v>
      </c>
    </row>
    <row r="45" spans="2:12">
      <c r="B45" s="18" t="s">
        <v>58</v>
      </c>
      <c r="C45" s="17"/>
      <c r="D45" s="17"/>
      <c r="E45" s="58"/>
      <c r="F45" s="17">
        <f>Children[[#This Row],[Budgeted
cost]]-Children[[#This Row],[Actual
cost]]</f>
        <v>0</v>
      </c>
      <c r="G45" s="13"/>
      <c r="H45" s="18" t="s">
        <v>78</v>
      </c>
      <c r="I45" s="17"/>
      <c r="J45" s="17"/>
      <c r="K45" s="58"/>
      <c r="L45" s="17">
        <f>Loans[[#This Row],[Budgeted
cost]]-Loans[[#This Row],[Actual
cost]]</f>
        <v>0</v>
      </c>
    </row>
    <row r="46" spans="2:12">
      <c r="B46" s="18" t="s">
        <v>79</v>
      </c>
      <c r="C46" s="17"/>
      <c r="D46" s="17"/>
      <c r="E46" s="58"/>
      <c r="F46" s="17">
        <f>Children[[#This Row],[Budgeted
cost]]-Children[[#This Row],[Actual
cost]]</f>
        <v>0</v>
      </c>
      <c r="G46" s="13"/>
      <c r="H46" s="18" t="s">
        <v>80</v>
      </c>
      <c r="I46" s="17"/>
      <c r="J46" s="17"/>
      <c r="K46" s="58"/>
      <c r="L46" s="17">
        <f>Loans[[#This Row],[Budgeted
cost]]-Loans[[#This Row],[Actual
cost]]</f>
        <v>0</v>
      </c>
    </row>
    <row r="47" spans="2:12">
      <c r="B47" s="18" t="s">
        <v>81</v>
      </c>
      <c r="C47" s="17"/>
      <c r="D47" s="17"/>
      <c r="E47" s="58"/>
      <c r="F47" s="17">
        <f>Children[[#This Row],[Budgeted
cost]]-Children[[#This Row],[Actual
cost]]</f>
        <v>0</v>
      </c>
      <c r="G47" s="13"/>
      <c r="H47" s="18" t="s">
        <v>80</v>
      </c>
      <c r="I47" s="17"/>
      <c r="J47" s="17"/>
      <c r="K47" s="58"/>
      <c r="L47" s="17">
        <f>Loans[[#This Row],[Budgeted
cost]]-Loans[[#This Row],[Actual
cost]]</f>
        <v>0</v>
      </c>
    </row>
    <row r="48" spans="2:12">
      <c r="B48" s="18" t="s">
        <v>63</v>
      </c>
      <c r="C48" s="17"/>
      <c r="D48" s="17"/>
      <c r="E48" s="58"/>
      <c r="F48" s="17">
        <f>Children[[#This Row],[Budgeted
cost]]-Children[[#This Row],[Actual
cost]]</f>
        <v>0</v>
      </c>
      <c r="G48" s="13"/>
      <c r="H48" s="18" t="s">
        <v>80</v>
      </c>
      <c r="I48" s="17"/>
      <c r="J48" s="17"/>
      <c r="K48" s="58"/>
      <c r="L48" s="17">
        <f>Loans[[#This Row],[Budgeted
cost]]-Loans[[#This Row],[Actual
cost]]</f>
        <v>0</v>
      </c>
    </row>
    <row r="49" spans="2:12">
      <c r="B49" s="18" t="s">
        <v>82</v>
      </c>
      <c r="C49" s="17"/>
      <c r="D49" s="17"/>
      <c r="E49" s="58"/>
      <c r="F49" s="17">
        <f>Children[[#This Row],[Budgeted
cost]]-Children[[#This Row],[Actual
cost]]</f>
        <v>0</v>
      </c>
      <c r="G49" s="13"/>
      <c r="H49" s="18" t="s">
        <v>49</v>
      </c>
      <c r="I49" s="17"/>
      <c r="J49" s="17"/>
      <c r="K49" s="58"/>
      <c r="L49" s="17">
        <f>Loans[[#This Row],[Budgeted
cost]]-Loans[[#This Row],[Actual
cost]]</f>
        <v>0</v>
      </c>
    </row>
    <row r="50" spans="2:12">
      <c r="B50" s="18" t="s">
        <v>83</v>
      </c>
      <c r="C50" s="17"/>
      <c r="D50" s="17"/>
      <c r="E50" s="58"/>
      <c r="F50" s="17">
        <f>Children[[#This Row],[Budgeted
cost]]-Children[[#This Row],[Actual
cost]]</f>
        <v>0</v>
      </c>
      <c r="G50" s="13"/>
      <c r="H50" s="18" t="s">
        <v>49</v>
      </c>
      <c r="I50" s="17"/>
      <c r="J50" s="17"/>
      <c r="K50" s="58"/>
      <c r="L50" s="17">
        <f>Loans[[#This Row],[Budgeted
cost]]-Loans[[#This Row],[Actual
cost]]</f>
        <v>0</v>
      </c>
    </row>
    <row r="51" spans="2:12">
      <c r="B51" s="18" t="s">
        <v>84</v>
      </c>
      <c r="C51" s="17"/>
      <c r="D51" s="17"/>
      <c r="E51" s="58"/>
      <c r="F51" s="17">
        <f>Children[[#This Row],[Budgeted
cost]]-Children[[#This Row],[Actual
cost]]</f>
        <v>0</v>
      </c>
      <c r="G51" s="13"/>
      <c r="H51" s="18" t="s">
        <v>31</v>
      </c>
      <c r="I51" s="19">
        <f>SUBTOTAL(109,Loans[Budgeted
cost])</f>
        <v>0</v>
      </c>
      <c r="J51" s="19">
        <f>SUBTOTAL(109,Loans[Actual
cost])</f>
        <v>0</v>
      </c>
      <c r="K51" s="61"/>
      <c r="L51" s="19">
        <f>SUBTOTAL(109,Loans[Difference])</f>
        <v>0</v>
      </c>
    </row>
    <row r="52" spans="2:12">
      <c r="B52" s="18" t="s">
        <v>49</v>
      </c>
      <c r="C52" s="17"/>
      <c r="D52" s="17"/>
      <c r="E52" s="58"/>
      <c r="F52" s="17">
        <f>Children[[#This Row],[Budgeted
cost]]-Children[[#This Row],[Actual
cost]]</f>
        <v>0</v>
      </c>
      <c r="G52" s="13"/>
    </row>
    <row r="53" spans="2:12" ht="17.45">
      <c r="B53" s="18" t="s">
        <v>49</v>
      </c>
      <c r="C53" s="17"/>
      <c r="D53" s="17"/>
      <c r="E53" s="58"/>
      <c r="F53" s="17">
        <f>Children[[#This Row],[Budgeted
cost]]-Children[[#This Row],[Actual
cost]]</f>
        <v>0</v>
      </c>
      <c r="G53" s="13"/>
      <c r="H53" s="7"/>
      <c r="I53" s="6"/>
      <c r="J53" s="6"/>
      <c r="K53" s="62"/>
    </row>
    <row r="54" spans="2:12">
      <c r="B54" s="18" t="s">
        <v>31</v>
      </c>
      <c r="C54" s="19">
        <f>SUBTOTAL(109,Children[Budgeted
cost])</f>
        <v>0</v>
      </c>
      <c r="D54" s="19">
        <f>SUBTOTAL(109,Children[Actual
cost])</f>
        <v>0</v>
      </c>
      <c r="E54" s="61"/>
      <c r="F54" s="19">
        <f>SUBTOTAL(109,Children[Difference])</f>
        <v>0</v>
      </c>
      <c r="G54" s="13"/>
    </row>
    <row r="55" spans="2:12" ht="15">
      <c r="B55" s="5"/>
      <c r="C55" s="6"/>
      <c r="D55" s="6"/>
      <c r="E55" s="62"/>
      <c r="F55" s="13"/>
      <c r="G55" s="13"/>
    </row>
    <row r="56" spans="2:12" ht="27.6">
      <c r="B56" s="22" t="s">
        <v>25</v>
      </c>
      <c r="C56" s="21" t="s">
        <v>9</v>
      </c>
      <c r="D56" s="21" t="s">
        <v>10</v>
      </c>
      <c r="E56" s="63" t="s">
        <v>37</v>
      </c>
      <c r="F56" s="21" t="s">
        <v>11</v>
      </c>
      <c r="G56" s="14"/>
      <c r="H56" s="22" t="s">
        <v>30</v>
      </c>
      <c r="I56" s="21" t="s">
        <v>9</v>
      </c>
      <c r="J56" s="23" t="s">
        <v>10</v>
      </c>
      <c r="K56" s="63" t="s">
        <v>37</v>
      </c>
      <c r="L56" s="21" t="s">
        <v>11</v>
      </c>
    </row>
    <row r="57" spans="2:12">
      <c r="B57" s="18" t="s">
        <v>85</v>
      </c>
      <c r="C57" s="17"/>
      <c r="D57" s="17"/>
      <c r="E57" s="58"/>
      <c r="F57" s="17">
        <f>Legal[[#This Row],[Budgeted
cost]]-Legal[[#This Row],[Actual
cost]]</f>
        <v>0</v>
      </c>
      <c r="H57" s="18" t="s">
        <v>86</v>
      </c>
      <c r="I57" s="17"/>
      <c r="J57" s="17"/>
      <c r="K57" s="58"/>
      <c r="L57" s="17">
        <f>Gifts[[#This Row],[Budgeted
cost]]-Gifts[[#This Row],[Actual
cost]]</f>
        <v>0</v>
      </c>
    </row>
    <row r="58" spans="2:12">
      <c r="B58" s="18" t="s">
        <v>87</v>
      </c>
      <c r="C58" s="17"/>
      <c r="D58" s="17"/>
      <c r="E58" s="58"/>
      <c r="F58" s="17">
        <f>Legal[[#This Row],[Budgeted
cost]]-Legal[[#This Row],[Actual
cost]]</f>
        <v>0</v>
      </c>
      <c r="G58" s="13"/>
      <c r="H58" s="18" t="s">
        <v>88</v>
      </c>
      <c r="I58" s="17"/>
      <c r="J58" s="17"/>
      <c r="K58" s="58"/>
      <c r="L58" s="17">
        <f>Gifts[[#This Row],[Budgeted
cost]]-Gifts[[#This Row],[Actual
cost]]</f>
        <v>0</v>
      </c>
    </row>
    <row r="59" spans="2:12">
      <c r="B59" s="18" t="s">
        <v>89</v>
      </c>
      <c r="C59" s="17"/>
      <c r="D59" s="17"/>
      <c r="E59" s="58"/>
      <c r="F59" s="17">
        <f>Legal[[#This Row],[Budgeted
cost]]-Legal[[#This Row],[Actual
cost]]</f>
        <v>0</v>
      </c>
      <c r="G59" s="13"/>
      <c r="H59" s="18" t="s">
        <v>90</v>
      </c>
      <c r="I59" s="17"/>
      <c r="J59" s="17"/>
      <c r="K59" s="58"/>
      <c r="L59" s="17">
        <f>Gifts[[#This Row],[Budgeted
cost]]-Gifts[[#This Row],[Actual
cost]]</f>
        <v>0</v>
      </c>
    </row>
    <row r="60" spans="2:12">
      <c r="B60" s="18" t="s">
        <v>49</v>
      </c>
      <c r="C60" s="17"/>
      <c r="D60" s="17"/>
      <c r="E60" s="58"/>
      <c r="F60" s="17">
        <f>Legal[[#This Row],[Budgeted
cost]]-Legal[[#This Row],[Actual
cost]]</f>
        <v>0</v>
      </c>
      <c r="G60" s="13"/>
      <c r="H60" s="18" t="s">
        <v>31</v>
      </c>
      <c r="I60" s="19">
        <f>SUBTOTAL(109,Gifts[Budgeted
cost])</f>
        <v>0</v>
      </c>
      <c r="J60" s="19">
        <f>SUBTOTAL(109,Gifts[Actual
cost])</f>
        <v>0</v>
      </c>
      <c r="K60" s="64"/>
      <c r="L60" s="19">
        <f>SUBTOTAL(109,Gifts[Difference])</f>
        <v>0</v>
      </c>
    </row>
    <row r="61" spans="2:12">
      <c r="B61" s="18" t="s">
        <v>49</v>
      </c>
      <c r="C61" s="17"/>
      <c r="D61" s="17"/>
      <c r="E61" s="58"/>
      <c r="F61" s="17">
        <f>Legal[[#This Row],[Budgeted
cost]]-Legal[[#This Row],[Actual
cost]]</f>
        <v>0</v>
      </c>
      <c r="G61" s="13"/>
    </row>
    <row r="62" spans="2:12">
      <c r="B62" s="18" t="s">
        <v>31</v>
      </c>
      <c r="C62" s="19">
        <f>SUBTOTAL(109,Legal[Budgeted
cost])</f>
        <v>0</v>
      </c>
      <c r="D62" s="19">
        <f>SUBTOTAL(109,Legal[Actual
cost])</f>
        <v>0</v>
      </c>
      <c r="E62" s="61"/>
      <c r="F62" s="19">
        <f>SUBTOTAL(109,Legal[Difference])</f>
        <v>0</v>
      </c>
      <c r="G62" s="13"/>
    </row>
    <row r="63" spans="2:12" ht="24.6">
      <c r="E63" s="12"/>
      <c r="G63" s="15"/>
      <c r="I63" s="20"/>
      <c r="J63" s="20"/>
      <c r="K63" s="59"/>
    </row>
    <row r="64" spans="2:12" ht="27.6">
      <c r="B64" s="22" t="s">
        <v>19</v>
      </c>
      <c r="C64" s="21" t="s">
        <v>9</v>
      </c>
      <c r="D64" s="23" t="s">
        <v>10</v>
      </c>
      <c r="E64" s="63" t="s">
        <v>37</v>
      </c>
      <c r="F64" s="21" t="s">
        <v>11</v>
      </c>
      <c r="G64" s="14"/>
    </row>
    <row r="65" spans="2:10">
      <c r="B65" s="18" t="s">
        <v>91</v>
      </c>
      <c r="C65" s="17"/>
      <c r="D65" s="17"/>
      <c r="E65" s="58"/>
      <c r="F65" s="17">
        <f>Entertainment[[#This Row],[Budgeted
cost]]-Entertainment[[#This Row],[Actual
cost]]</f>
        <v>0</v>
      </c>
    </row>
    <row r="66" spans="2:10">
      <c r="B66" s="18" t="s">
        <v>92</v>
      </c>
      <c r="C66" s="17"/>
      <c r="D66" s="17"/>
      <c r="E66" s="58"/>
      <c r="F66" s="17">
        <f>Entertainment[[#This Row],[Budgeted
cost]]-Entertainment[[#This Row],[Actual
cost]]</f>
        <v>0</v>
      </c>
      <c r="G66" s="13"/>
    </row>
    <row r="67" spans="2:10">
      <c r="B67" s="18" t="s">
        <v>93</v>
      </c>
      <c r="C67" s="17"/>
      <c r="D67" s="17"/>
      <c r="E67" s="58"/>
      <c r="F67" s="17">
        <f>Entertainment[[#This Row],[Budgeted
cost]]-Entertainment[[#This Row],[Actual
cost]]</f>
        <v>0</v>
      </c>
      <c r="G67" s="13"/>
    </row>
    <row r="68" spans="2:10">
      <c r="B68" s="18" t="s">
        <v>94</v>
      </c>
      <c r="C68" s="17"/>
      <c r="D68" s="17"/>
      <c r="E68" s="58"/>
      <c r="F68" s="17">
        <f>Entertainment[[#This Row],[Budgeted
cost]]-Entertainment[[#This Row],[Actual
cost]]</f>
        <v>0</v>
      </c>
    </row>
    <row r="69" spans="2:10">
      <c r="B69" s="18" t="s">
        <v>95</v>
      </c>
      <c r="C69" s="17"/>
      <c r="D69" s="17"/>
      <c r="E69" s="58"/>
      <c r="F69" s="17">
        <f>Entertainment[[#This Row],[Budgeted
cost]]-Entertainment[[#This Row],[Actual
cost]]</f>
        <v>0</v>
      </c>
    </row>
    <row r="70" spans="2:10">
      <c r="B70" s="18" t="s">
        <v>96</v>
      </c>
      <c r="C70" s="17"/>
      <c r="D70" s="17"/>
      <c r="E70" s="58"/>
      <c r="F70" s="17">
        <f>Entertainment[[#This Row],[Budgeted
cost]]-Entertainment[[#This Row],[Actual
cost]]</f>
        <v>0</v>
      </c>
    </row>
    <row r="71" spans="2:10">
      <c r="B71" s="18" t="s">
        <v>49</v>
      </c>
      <c r="C71" s="17"/>
      <c r="D71" s="17"/>
      <c r="E71" s="58"/>
      <c r="F71" s="17">
        <f>Entertainment[[#This Row],[Budgeted
cost]]-Entertainment[[#This Row],[Actual
cost]]</f>
        <v>0</v>
      </c>
    </row>
    <row r="72" spans="2:10">
      <c r="B72" s="18" t="s">
        <v>31</v>
      </c>
      <c r="C72" s="19">
        <f>SUBTOTAL(109,Entertainment[Budgeted
cost])</f>
        <v>0</v>
      </c>
      <c r="D72" s="19">
        <f>SUBTOTAL(109,Entertainment[Actual
cost])</f>
        <v>0</v>
      </c>
      <c r="E72" s="64"/>
      <c r="F72" s="19">
        <f>SUBTOTAL(109,Entertainment[Difference])</f>
        <v>0</v>
      </c>
      <c r="J72" s="16"/>
    </row>
    <row r="73" spans="2:10">
      <c r="E73" s="12"/>
    </row>
    <row r="74" spans="2:10">
      <c r="E74" s="12"/>
    </row>
  </sheetData>
  <phoneticPr fontId="2" type="noConversion"/>
  <conditionalFormatting sqref="B1:B14 F1:F14 G1:G25 H3:L10 H16:L24 B16:F26 G27:G33 H28:L33 B28:F34 H36:L40 B36:F42 G37:G43 H41:K41 H44:L51 B44:F55 G45:G56 H53:K53 H57:L60 B57:F62 G58:G64 B65:F72 G66:G67">
    <cfRule type="cellIs" dxfId="1309" priority="3" operator="lessThan">
      <formula>0</formula>
    </cfRule>
  </conditionalFormatting>
  <conditionalFormatting sqref="B3:F13">
    <cfRule type="cellIs" dxfId="1308" priority="2" operator="lessThan">
      <formula>0</formula>
    </cfRule>
  </conditionalFormatting>
  <conditionalFormatting sqref="F3:F12">
    <cfRule type="iconSet" priority="1">
      <iconSet iconSet="3Arrows">
        <cfvo type="percentile" val="0"/>
        <cfvo type="num" val="-50"/>
        <cfvo type="num" val="50"/>
      </iconSet>
    </cfRule>
  </conditionalFormatting>
  <conditionalFormatting sqref="L28:L32 L57:L59 F65:F71 L36:L39 F16:F24 L44:L50 F28:F32 F36:F40 F44:F53 L16:L23 F57:F61 L3:L9">
    <cfRule type="iconSet" priority="4">
      <iconSet iconSet="3Arrows">
        <cfvo type="percentile" val="0"/>
        <cfvo type="num" val="-50"/>
        <cfvo type="num" val="50"/>
      </iconSet>
    </cfRule>
  </conditionalFormatting>
  <dataValidations count="1">
    <dataValidation allowBlank="1" showInputMessage="1" showErrorMessage="1" prompt="Enter details in Transportation table below and in Insurance table starting in cell B30" sqref="G1:G14 B1:B12 B14" xr:uid="{00000000-0002-0000-0000-000010000000}"/>
  </dataValidations>
  <pageMargins left="0.7" right="0.7" top="0.75" bottom="0.75" header="0.3" footer="0.3"/>
  <pageSetup orientation="landscape" horizontalDpi="1200" verticalDpi="1200" r:id="rId1"/>
  <headerFooter>
    <oddFooter>&amp;C&amp;P&amp;R&amp;G</oddFooter>
  </headerFooter>
  <legacyDrawingHF r:id="rId2"/>
  <tableParts count="13">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264CF-ECA0-4608-975F-6077BEF597EE}">
  <sheetPr>
    <tabColor theme="4"/>
  </sheetPr>
  <dimension ref="B1:J61"/>
  <sheetViews>
    <sheetView zoomScale="70" zoomScaleNormal="70" zoomScalePageLayoutView="70" workbookViewId="0">
      <selection activeCell="E3" sqref="E3"/>
    </sheetView>
  </sheetViews>
  <sheetFormatPr defaultColWidth="9" defaultRowHeight="30" customHeight="1"/>
  <cols>
    <col min="1" max="1" width="1.25" customWidth="1"/>
    <col min="2" max="6" width="24.625" customWidth="1"/>
    <col min="7" max="7" width="7.75" customWidth="1"/>
    <col min="8" max="8" width="32.875" customWidth="1"/>
    <col min="9" max="9" width="32.875" style="2" customWidth="1"/>
    <col min="10" max="10" width="2.375" customWidth="1"/>
  </cols>
  <sheetData>
    <row r="1" spans="2:10" ht="77.25" customHeight="1">
      <c r="B1" s="113" t="s">
        <v>97</v>
      </c>
      <c r="C1" s="113"/>
      <c r="D1" s="113"/>
      <c r="E1" s="113"/>
      <c r="F1" s="113"/>
      <c r="G1" s="113"/>
      <c r="H1" s="113"/>
      <c r="I1" s="26"/>
      <c r="J1" s="27"/>
    </row>
    <row r="2" spans="2:10" ht="35.450000000000003">
      <c r="B2" s="54" t="s">
        <v>1</v>
      </c>
      <c r="C2" s="24" t="s">
        <v>2</v>
      </c>
      <c r="D2" s="55" t="s">
        <v>3</v>
      </c>
      <c r="E2" s="25" t="s">
        <v>4</v>
      </c>
      <c r="F2" s="1"/>
      <c r="H2" s="36"/>
      <c r="I2" s="26"/>
      <c r="J2" s="29"/>
    </row>
    <row r="3" spans="2:10" ht="35.450000000000003">
      <c r="B3" s="11"/>
      <c r="C3" s="76">
        <f>C19</f>
        <v>0</v>
      </c>
      <c r="D3" s="77">
        <f>D19</f>
        <v>0</v>
      </c>
      <c r="E3" s="78">
        <f>SUM(C3-D3)</f>
        <v>0</v>
      </c>
      <c r="F3" s="1"/>
      <c r="H3" s="36"/>
      <c r="I3" s="26"/>
      <c r="J3" s="29"/>
    </row>
    <row r="4" spans="2:10" ht="35.450000000000003">
      <c r="C4" s="33"/>
      <c r="D4" s="33"/>
      <c r="E4" s="33"/>
      <c r="F4" s="10"/>
      <c r="H4" s="36"/>
      <c r="I4" s="26"/>
      <c r="J4" s="29"/>
    </row>
    <row r="5" spans="2:10" ht="27.6">
      <c r="B5" s="79" t="s">
        <v>8</v>
      </c>
      <c r="C5" s="80" t="s">
        <v>9</v>
      </c>
      <c r="D5" s="80" t="s">
        <v>10</v>
      </c>
      <c r="E5" s="81" t="s">
        <v>11</v>
      </c>
      <c r="G5" s="10"/>
      <c r="H5" s="114" t="s">
        <v>33</v>
      </c>
      <c r="I5" s="115"/>
      <c r="J5" s="30"/>
    </row>
    <row r="6" spans="2:10" ht="15">
      <c r="B6" s="82" t="s">
        <v>13</v>
      </c>
      <c r="C6" s="83">
        <f>Housing[[#Totals],[Budgeted
cost]]</f>
        <v>0</v>
      </c>
      <c r="D6" s="83">
        <f>Housing[[#Totals],[Actual
cost]]</f>
        <v>0</v>
      </c>
      <c r="E6" s="84">
        <f>'February - Overview'!$C6-'February - Overview'!$D6</f>
        <v>0</v>
      </c>
      <c r="G6" s="10"/>
      <c r="H6" s="37" t="s">
        <v>6</v>
      </c>
      <c r="I6" s="38"/>
      <c r="J6" s="28"/>
    </row>
    <row r="7" spans="2:10" ht="15">
      <c r="B7" s="85" t="s">
        <v>15</v>
      </c>
      <c r="C7" s="73">
        <f>Transportation[[#Totals],[Budgeted
cost]]</f>
        <v>0</v>
      </c>
      <c r="D7" s="73">
        <f>Transportation[[#Totals],[Actual
cost]]</f>
        <v>0</v>
      </c>
      <c r="E7" s="86">
        <f>'February - Overview'!$C7-'February - Overview'!$D7</f>
        <v>0</v>
      </c>
      <c r="G7" s="10"/>
      <c r="H7" s="69" t="s">
        <v>7</v>
      </c>
      <c r="I7" s="71"/>
      <c r="J7" s="28"/>
    </row>
    <row r="8" spans="2:10" ht="15">
      <c r="B8" s="87" t="s">
        <v>16</v>
      </c>
      <c r="C8" s="72">
        <f>Loans[[#Totals],[Budgeted
cost]]</f>
        <v>0</v>
      </c>
      <c r="D8" s="72">
        <f>Loans[[#Totals],[Actual
cost]]</f>
        <v>0</v>
      </c>
      <c r="E8" s="88">
        <f>'February - Overview'!$C8-'February - Overview'!$D8</f>
        <v>0</v>
      </c>
      <c r="G8" s="10"/>
      <c r="H8" s="41" t="s">
        <v>12</v>
      </c>
      <c r="I8" s="38"/>
      <c r="J8" s="28"/>
    </row>
    <row r="9" spans="2:10" ht="17.45">
      <c r="B9" s="85" t="s">
        <v>18</v>
      </c>
      <c r="C9" s="73">
        <f>Insurance[[#Totals],[Budgeted
cost]]</f>
        <v>0</v>
      </c>
      <c r="D9" s="73">
        <f>Insurance[[#Totals],[Actual
cost]]</f>
        <v>0</v>
      </c>
      <c r="E9" s="86">
        <f>'February - Overview'!$C9-'February - Overview'!$D9</f>
        <v>0</v>
      </c>
      <c r="G9" s="10"/>
      <c r="H9" s="42" t="s">
        <v>14</v>
      </c>
      <c r="I9" s="43">
        <f>SUM(I6:I8)</f>
        <v>0</v>
      </c>
      <c r="J9" s="28"/>
    </row>
    <row r="10" spans="2:10" ht="15">
      <c r="B10" s="87" t="s">
        <v>19</v>
      </c>
      <c r="C10" s="72">
        <f>Entertainment[[#Totals],[Budgeted
cost]]</f>
        <v>0</v>
      </c>
      <c r="D10" s="72">
        <f>Entertainment[[#Totals],[Actual
cost]]</f>
        <v>0</v>
      </c>
      <c r="E10" s="88">
        <f>'February - Overview'!$C10-'February - Overview'!$D10</f>
        <v>0</v>
      </c>
      <c r="G10" s="10"/>
      <c r="H10" s="31"/>
      <c r="I10" s="31"/>
      <c r="J10" s="28"/>
    </row>
    <row r="11" spans="2:10" ht="24.6">
      <c r="B11" s="85" t="s">
        <v>20</v>
      </c>
      <c r="C11" s="94">
        <f>Food[[#Totals],[Budgeted
cost]]</f>
        <v>0</v>
      </c>
      <c r="D11" s="94">
        <f>Food[[#Totals],[Actual
cost]]</f>
        <v>0</v>
      </c>
      <c r="E11" s="95">
        <f>'February - Overview'!$C11-'February - Overview'!$D11</f>
        <v>0</v>
      </c>
      <c r="G11" s="10"/>
      <c r="H11" s="116" t="s">
        <v>34</v>
      </c>
      <c r="I11" s="117"/>
      <c r="J11" s="31"/>
    </row>
    <row r="12" spans="2:10" ht="15">
      <c r="B12" s="87" t="s">
        <v>21</v>
      </c>
      <c r="C12" s="96">
        <f>Taxes[[#Totals],[Budgeted 
cost]]</f>
        <v>0</v>
      </c>
      <c r="D12" s="96">
        <f>Taxes[[#Totals],[Actual 
cost]]</f>
        <v>0</v>
      </c>
      <c r="E12" s="97">
        <f>'February - Overview'!$C12-'February - Overview'!$D12</f>
        <v>0</v>
      </c>
      <c r="G12" s="10"/>
      <c r="H12" s="41" t="s">
        <v>6</v>
      </c>
      <c r="I12" s="44"/>
      <c r="J12" s="30"/>
    </row>
    <row r="13" spans="2:10" ht="15">
      <c r="B13" s="85" t="s">
        <v>22</v>
      </c>
      <c r="C13" s="98">
        <f>Children[[#Totals],[Budgeted
cost]]</f>
        <v>0</v>
      </c>
      <c r="D13" s="98">
        <f>Children[[#Totals],[Actual
cost]]</f>
        <v>0</v>
      </c>
      <c r="E13" s="99">
        <f>'February - Overview'!$C13-'February - Overview'!$D13</f>
        <v>0</v>
      </c>
      <c r="G13" s="10"/>
      <c r="H13" s="69" t="s">
        <v>7</v>
      </c>
      <c r="I13" s="70"/>
      <c r="J13" s="28"/>
    </row>
    <row r="14" spans="2:10" ht="15">
      <c r="B14" s="87" t="s">
        <v>23</v>
      </c>
      <c r="C14" s="100">
        <f>PersonalCare[[#Totals],[Budgeted
cost]]</f>
        <v>0</v>
      </c>
      <c r="D14" s="100">
        <f>PersonalCare[[#Totals],[Actual
cost]]</f>
        <v>0</v>
      </c>
      <c r="E14" s="101">
        <f>'February - Overview'!$C14-'February - Overview'!$D14</f>
        <v>0</v>
      </c>
      <c r="G14" s="10"/>
      <c r="H14" s="41" t="s">
        <v>12</v>
      </c>
      <c r="I14" s="44"/>
      <c r="J14" s="28"/>
    </row>
    <row r="15" spans="2:10" ht="17.45">
      <c r="B15" s="85" t="s">
        <v>25</v>
      </c>
      <c r="C15" s="94">
        <f>Legal[[#Totals],[Budgeted
cost]]</f>
        <v>0</v>
      </c>
      <c r="D15" s="94">
        <f>Legal[[#Totals],[Actual
cost]]</f>
        <v>0</v>
      </c>
      <c r="E15" s="95">
        <f>'February - Overview'!$C15-'February - Overview'!$D15</f>
        <v>0</v>
      </c>
      <c r="G15" s="10"/>
      <c r="H15" s="46" t="s">
        <v>14</v>
      </c>
      <c r="I15" s="47">
        <f>SUM(I12:I14)</f>
        <v>0</v>
      </c>
      <c r="J15" s="28"/>
    </row>
    <row r="16" spans="2:10" ht="15">
      <c r="B16" s="87" t="s">
        <v>27</v>
      </c>
      <c r="C16" s="96">
        <f>Pets[[#Totals],[Budgeted
cost]]</f>
        <v>0</v>
      </c>
      <c r="D16" s="96">
        <f>Pets[[#Totals],[Actual
cost]]</f>
        <v>0</v>
      </c>
      <c r="E16" s="97">
        <f>'February - Overview'!$C16-'February - Overview'!$D16</f>
        <v>0</v>
      </c>
      <c r="G16" s="10"/>
      <c r="H16" s="31"/>
      <c r="I16" s="31"/>
      <c r="J16" s="28"/>
    </row>
    <row r="17" spans="2:10" ht="24.6">
      <c r="B17" s="85" t="s">
        <v>29</v>
      </c>
      <c r="C17" s="73">
        <f>Savings[[#Totals],[Budgeted
cost]]</f>
        <v>0</v>
      </c>
      <c r="D17" s="73">
        <f>Savings[[#Totals],[Actual
cost]]</f>
        <v>0</v>
      </c>
      <c r="E17" s="86">
        <f>'February - Overview'!$C17-'February - Overview'!$D17</f>
        <v>0</v>
      </c>
      <c r="F17" s="10"/>
      <c r="G17" s="8"/>
      <c r="H17" s="118" t="s">
        <v>24</v>
      </c>
      <c r="I17" s="119"/>
      <c r="J17" s="29"/>
    </row>
    <row r="18" spans="2:10" ht="15.6" thickBot="1">
      <c r="B18" s="87" t="s">
        <v>30</v>
      </c>
      <c r="C18" s="72">
        <f>Gifts[[#Totals],[Budgeted
cost]]</f>
        <v>0</v>
      </c>
      <c r="D18" s="72">
        <f>Gifts[[#Totals],[Actual
cost]]</f>
        <v>0</v>
      </c>
      <c r="E18" s="88">
        <f>'February - Overview'!$C18-'February - Overview'!$D18</f>
        <v>0</v>
      </c>
      <c r="F18" s="34"/>
      <c r="G18" s="35"/>
      <c r="H18" s="48" t="s">
        <v>35</v>
      </c>
      <c r="I18" s="49">
        <f>SUM(I9-'February - Overview'!$C$3:$C$3)</f>
        <v>0</v>
      </c>
      <c r="J18" s="29"/>
    </row>
    <row r="19" spans="2:10" s="32" customFormat="1" ht="25.15" thickTop="1">
      <c r="B19" s="91" t="s">
        <v>31</v>
      </c>
      <c r="C19" s="92">
        <f>SUBTOTAL(109,'February - Overview'!$C$6:$C$18)</f>
        <v>0</v>
      </c>
      <c r="D19" s="92">
        <f>SUBTOTAL(109,'February - Overview'!$D$6:$D$18)</f>
        <v>0</v>
      </c>
      <c r="E19" s="93">
        <f>SUBTOTAL(109,'February - Overview'!$E$6:$E$18)</f>
        <v>0</v>
      </c>
      <c r="H19" s="67" t="s">
        <v>36</v>
      </c>
      <c r="I19" s="68">
        <f>SUM(I15-D3)</f>
        <v>0</v>
      </c>
    </row>
    <row r="20" spans="2:10" ht="17.45">
      <c r="H20" s="52" t="s">
        <v>11</v>
      </c>
      <c r="I20" s="53">
        <f>SUM(I19-I18)</f>
        <v>0</v>
      </c>
    </row>
    <row r="21" spans="2:10" ht="30" customHeight="1">
      <c r="H21" s="8"/>
      <c r="I21" s="9"/>
    </row>
    <row r="22" spans="2:10" ht="30" customHeight="1">
      <c r="I22"/>
    </row>
    <row r="23" spans="2:10" ht="30" customHeight="1">
      <c r="I23"/>
    </row>
    <row r="24" spans="2:10" ht="30" customHeight="1">
      <c r="I24"/>
    </row>
    <row r="25" spans="2:10" ht="30" customHeight="1">
      <c r="I25"/>
    </row>
    <row r="26" spans="2:10" ht="30" customHeight="1">
      <c r="I26"/>
    </row>
    <row r="27" spans="2:10" ht="37.9" customHeight="1">
      <c r="I27"/>
    </row>
    <row r="28" spans="2:10" ht="30" customHeight="1">
      <c r="I28"/>
    </row>
    <row r="29" spans="2:10" ht="48" customHeight="1">
      <c r="I29"/>
    </row>
    <row r="30" spans="2:10" ht="30" customHeight="1">
      <c r="I30"/>
    </row>
    <row r="31" spans="2:10" ht="30" customHeight="1">
      <c r="I31"/>
    </row>
    <row r="32" spans="2:10" ht="30" customHeight="1">
      <c r="I32"/>
    </row>
    <row r="33" spans="9:9" ht="30" customHeight="1">
      <c r="I33"/>
    </row>
    <row r="34" spans="9:9" ht="30" customHeight="1">
      <c r="I34"/>
    </row>
    <row r="35" spans="9:9" ht="30" customHeight="1">
      <c r="I35"/>
    </row>
    <row r="36" spans="9:9" ht="30" customHeight="1">
      <c r="I36"/>
    </row>
    <row r="37" spans="9:9" ht="30" customHeight="1">
      <c r="I37"/>
    </row>
    <row r="38" spans="9:9" ht="30" customHeight="1">
      <c r="I38"/>
    </row>
    <row r="39" spans="9:9" ht="30" customHeight="1">
      <c r="I39"/>
    </row>
    <row r="40" spans="9:9" ht="37.9" customHeight="1">
      <c r="I40"/>
    </row>
    <row r="41" spans="9:9" ht="30" customHeight="1">
      <c r="I41"/>
    </row>
    <row r="42" spans="9:9" ht="48" customHeight="1">
      <c r="I42"/>
    </row>
    <row r="43" spans="9:9" ht="30" customHeight="1">
      <c r="I43"/>
    </row>
    <row r="44" spans="9:9" ht="30" customHeight="1">
      <c r="I44"/>
    </row>
    <row r="45" spans="9:9" ht="30" customHeight="1">
      <c r="I45"/>
    </row>
    <row r="46" spans="9:9" ht="30" customHeight="1">
      <c r="I46"/>
    </row>
    <row r="47" spans="9:9" ht="30" customHeight="1">
      <c r="I47"/>
    </row>
    <row r="48" spans="9:9" ht="30" customHeight="1">
      <c r="I48"/>
    </row>
    <row r="49" spans="9:9" ht="37.9" customHeight="1">
      <c r="I49"/>
    </row>
    <row r="50" spans="9:9" ht="30" customHeight="1">
      <c r="I50"/>
    </row>
    <row r="51" spans="9:9" ht="48" customHeight="1">
      <c r="I51"/>
    </row>
    <row r="52" spans="9:9" ht="30" customHeight="1">
      <c r="I52"/>
    </row>
    <row r="53" spans="9:9" ht="30" customHeight="1">
      <c r="I53"/>
    </row>
    <row r="54" spans="9:9" ht="30" customHeight="1">
      <c r="I54"/>
    </row>
    <row r="55" spans="9:9" ht="30" customHeight="1">
      <c r="I55"/>
    </row>
    <row r="56" spans="9:9" ht="30" customHeight="1">
      <c r="I56"/>
    </row>
    <row r="57" spans="9:9" ht="30" customHeight="1">
      <c r="I57"/>
    </row>
    <row r="58" spans="9:9" ht="30" customHeight="1">
      <c r="I58"/>
    </row>
    <row r="59" spans="9:9" ht="30" customHeight="1">
      <c r="I59"/>
    </row>
    <row r="60" spans="9:9" ht="30" customHeight="1">
      <c r="I60"/>
    </row>
    <row r="61" spans="9:9" ht="30" customHeight="1">
      <c r="I61"/>
    </row>
  </sheetData>
  <mergeCells count="4">
    <mergeCell ref="B1:H1"/>
    <mergeCell ref="H5:I5"/>
    <mergeCell ref="H11:I11"/>
    <mergeCell ref="H17:I17"/>
  </mergeCells>
  <conditionalFormatting sqref="B1 I1:J4 B2:F2 B3 D3:F3 F4 H5:H6 G5:G16 J5:J18 I6 H7:I10 H11 H12:I15 H16:H17 F17:G18 H18:I21">
    <cfRule type="cellIs" dxfId="1209" priority="5" operator="lessThan">
      <formula>0</formula>
    </cfRule>
  </conditionalFormatting>
  <conditionalFormatting sqref="B6:E19">
    <cfRule type="cellIs" dxfId="1208" priority="1" operator="lessThan">
      <formula>0</formula>
    </cfRule>
  </conditionalFormatting>
  <conditionalFormatting sqref="C3">
    <cfRule type="cellIs" dxfId="1207" priority="4" operator="lessThan">
      <formula>0</formula>
    </cfRule>
  </conditionalFormatting>
  <conditionalFormatting sqref="E3">
    <cfRule type="iconSet" priority="3">
      <iconSet iconSet="3Arrows">
        <cfvo type="percentile" val="0"/>
        <cfvo type="num" val="-50"/>
        <cfvo type="num" val="50"/>
      </iconSet>
    </cfRule>
  </conditionalFormatting>
  <conditionalFormatting sqref="E6:E18">
    <cfRule type="iconSet" priority="2">
      <iconSet iconSet="3Arrows">
        <cfvo type="percentile" val="0"/>
        <cfvo type="num" val="-50"/>
        <cfvo type="num" val="50"/>
      </iconSet>
    </cfRule>
  </conditionalFormatting>
  <conditionalFormatting sqref="I20:I21">
    <cfRule type="iconSet" priority="6">
      <iconSet iconSet="3Arrows">
        <cfvo type="percentile" val="0"/>
        <cfvo type="num" val="-50"/>
        <cfvo type="num" val="50"/>
      </iconSet>
    </cfRule>
  </conditionalFormatting>
  <dataValidations count="11">
    <dataValidation allowBlank="1" showInputMessage="1" showErrorMessage="1" prompt="Create a Family Budget Planner in this worksheet. Enter details in tables. Total Projected and Actual Costs, Projected and Actual Balance, and Difference are auto calculated" sqref="A1" xr:uid="{91913BF8-C70F-4886-BE57-392ACF613AB8}"/>
    <dataValidation allowBlank="1" showInputMessage="1" showErrorMessage="1" prompt="Title of this worksheet is in this cell. Summary is in table below. Sample expense categories are in separate tables starting in B5. Enter income amounts starting in cell G2" sqref="B1" xr:uid="{3D5B9512-FD1B-4009-A86F-C45290CE76A4}"/>
    <dataValidation allowBlank="1" showInputMessage="1" showErrorMessage="1" prompt="Total Projected Cost is auto calculated in cell below" sqref="C2" xr:uid="{38DCA7BE-603C-4B55-8971-118FDA85155A}"/>
    <dataValidation allowBlank="1" showInputMessage="1" showErrorMessage="1" prompt="Total Actual Cost is auto calculated in cell below" sqref="D2" xr:uid="{75FAA19F-3669-41AB-8403-7228630FC4E9}"/>
    <dataValidation allowBlank="1" showInputMessage="1" showErrorMessage="1" prompt="Total Difference is auto calculated in cell below" sqref="E2" xr:uid="{DDE876C4-47E2-4965-B627-F2D7A65A9A61}"/>
    <dataValidation allowBlank="1" showInputMessage="1" showErrorMessage="1" prompt="Enter Projected Monthly Income Source in this column under this heading" sqref="H5" xr:uid="{AB52AC97-48CD-4240-936B-DA2474CE0256}"/>
    <dataValidation allowBlank="1" showInputMessage="1" showErrorMessage="1" prompt="Enter details in Actual Monthly Income table below" sqref="H10" xr:uid="{B3DC7E18-643B-4E75-89AD-88A646B4A06C}"/>
    <dataValidation allowBlank="1" showInputMessage="1" showErrorMessage="1" prompt="Enter Actual Monthly Income Source in this column under this heading" sqref="H11" xr:uid="{BAD4E02C-AD44-425C-8B2F-7B47ACBD5B02}"/>
    <dataValidation allowBlank="1" showInputMessage="1" showErrorMessage="1" prompt="Balance table below is auto updated" sqref="H16" xr:uid="{C3EE9DA0-8C64-466F-95C6-42239AA645AF}"/>
    <dataValidation allowBlank="1" showInputMessage="1" showErrorMessage="1" prompt="Balance is in this column under this heading" sqref="H17" xr:uid="{1D4804B4-ABE3-4AE6-94B9-76CEC5BFC433}"/>
    <dataValidation allowBlank="1" showInputMessage="1" showErrorMessage="1" prompt="Total Projected, Actual, and Difference is auto calculated in this table" sqref="B2" xr:uid="{C113695C-AB3E-4C71-AD2A-C1CE3C37FBF2}"/>
  </dataValidations>
  <printOptions horizontalCentered="1"/>
  <pageMargins left="0.23622047244094491" right="0.23622047244094491" top="0.51181102362204722" bottom="0.51181102362204722" header="0.51181102362204722" footer="0.51181102362204722"/>
  <pageSetup scale="60" orientation="landscape" r:id="rId1"/>
  <headerFooter alignWithMargins="0"/>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3DA0-E269-4B91-BEEA-6BA2627C024D}">
  <sheetPr>
    <tabColor theme="2" tint="-9.9978637043366805E-2"/>
  </sheetPr>
  <dimension ref="B1:L74"/>
  <sheetViews>
    <sheetView zoomScale="70" zoomScaleNormal="70" workbookViewId="0">
      <selection activeCell="I36" sqref="I36"/>
    </sheetView>
  </sheetViews>
  <sheetFormatPr defaultColWidth="9" defaultRowHeight="13.9"/>
  <cols>
    <col min="1" max="1" width="2.375" style="12" customWidth="1"/>
    <col min="2" max="2" width="29.75" style="12" bestFit="1" customWidth="1"/>
    <col min="3" max="3" width="13.5" style="12" bestFit="1" customWidth="1"/>
    <col min="4" max="4" width="10.25" style="12" bestFit="1" customWidth="1"/>
    <col min="5" max="5" width="14.875" style="66" bestFit="1" customWidth="1"/>
    <col min="6" max="6" width="14.25" style="12" bestFit="1" customWidth="1"/>
    <col min="7" max="7" width="5.5" style="12" customWidth="1"/>
    <col min="8" max="8" width="28.125" style="12" bestFit="1" customWidth="1"/>
    <col min="9" max="9" width="13.5" style="12" bestFit="1" customWidth="1"/>
    <col min="10" max="10" width="10.25" style="12" bestFit="1" customWidth="1"/>
    <col min="11" max="11" width="12.875" style="12" bestFit="1" customWidth="1"/>
    <col min="12" max="12" width="14.25" style="12" bestFit="1" customWidth="1"/>
    <col min="13" max="16384" width="9" style="12"/>
  </cols>
  <sheetData>
    <row r="1" spans="2:12" ht="15" customHeight="1">
      <c r="B1" s="56"/>
      <c r="C1" s="56"/>
      <c r="D1" s="56"/>
      <c r="E1" s="74"/>
      <c r="F1" s="75"/>
      <c r="G1" s="56"/>
      <c r="H1" s="56"/>
      <c r="I1" s="56"/>
      <c r="J1" s="56"/>
    </row>
    <row r="2" spans="2:12" ht="15" customHeight="1">
      <c r="B2" s="22" t="s">
        <v>13</v>
      </c>
      <c r="C2" s="21" t="s">
        <v>9</v>
      </c>
      <c r="D2" s="21" t="s">
        <v>10</v>
      </c>
      <c r="E2" s="57" t="s">
        <v>37</v>
      </c>
      <c r="F2" s="21" t="s">
        <v>11</v>
      </c>
      <c r="G2" s="56"/>
      <c r="H2" s="22" t="s">
        <v>29</v>
      </c>
      <c r="I2" s="21" t="s">
        <v>9</v>
      </c>
      <c r="J2" s="21" t="s">
        <v>10</v>
      </c>
      <c r="K2" s="63" t="s">
        <v>37</v>
      </c>
      <c r="L2" s="21" t="s">
        <v>11</v>
      </c>
    </row>
    <row r="3" spans="2:12" ht="15" customHeight="1">
      <c r="B3" s="18" t="s">
        <v>38</v>
      </c>
      <c r="C3" s="17"/>
      <c r="D3" s="17"/>
      <c r="E3" s="58"/>
      <c r="F3" s="17">
        <f>Housing102[[#This Row],[Budgeted
cost]]-Housing102[[#This Row],[Actual
cost]]</f>
        <v>0</v>
      </c>
      <c r="G3" s="56"/>
      <c r="H3" s="18" t="s">
        <v>39</v>
      </c>
      <c r="I3" s="17"/>
      <c r="J3" s="17"/>
      <c r="K3" s="58"/>
      <c r="L3" s="17">
        <f>Savings92[[#This Row],[Budgeted
cost]]-Savings92[[#This Row],[Actual
cost]]</f>
        <v>0</v>
      </c>
    </row>
    <row r="4" spans="2:12" ht="15" customHeight="1">
      <c r="B4" s="18" t="s">
        <v>40</v>
      </c>
      <c r="C4" s="17"/>
      <c r="D4" s="17"/>
      <c r="E4" s="58"/>
      <c r="F4" s="17">
        <f>Housing102[[#This Row],[Budgeted
cost]]-Housing102[[#This Row],[Actual
cost]]</f>
        <v>0</v>
      </c>
      <c r="G4" s="56"/>
      <c r="H4" s="18" t="s">
        <v>41</v>
      </c>
      <c r="I4" s="17"/>
      <c r="J4" s="17"/>
      <c r="K4" s="58"/>
      <c r="L4" s="17">
        <f>Savings92[[#This Row],[Budgeted
cost]]-Savings92[[#This Row],[Actual
cost]]</f>
        <v>0</v>
      </c>
    </row>
    <row r="5" spans="2:12" ht="15" customHeight="1">
      <c r="B5" s="18" t="s">
        <v>42</v>
      </c>
      <c r="C5" s="17"/>
      <c r="D5" s="17"/>
      <c r="E5" s="58"/>
      <c r="F5" s="17">
        <f>Housing102[[#This Row],[Budgeted
cost]]-Housing102[[#This Row],[Actual
cost]]</f>
        <v>0</v>
      </c>
      <c r="G5" s="56"/>
      <c r="H5" s="18" t="s">
        <v>43</v>
      </c>
      <c r="I5" s="17"/>
      <c r="J5" s="17"/>
      <c r="K5" s="58"/>
      <c r="L5" s="17">
        <f>Savings92[[#This Row],[Budgeted
cost]]-Savings92[[#This Row],[Actual
cost]]</f>
        <v>0</v>
      </c>
    </row>
    <row r="6" spans="2:12" ht="15" customHeight="1">
      <c r="B6" s="18" t="s">
        <v>44</v>
      </c>
      <c r="C6" s="17"/>
      <c r="D6" s="17"/>
      <c r="E6" s="58"/>
      <c r="F6" s="17">
        <f>Housing102[[#This Row],[Budgeted
cost]]-Housing102[[#This Row],[Actual
cost]]</f>
        <v>0</v>
      </c>
      <c r="G6" s="56"/>
      <c r="H6" s="18" t="s">
        <v>45</v>
      </c>
      <c r="I6" s="17"/>
      <c r="J6" s="17"/>
      <c r="K6" s="58"/>
      <c r="L6" s="17">
        <f>Savings92[[#This Row],[Budgeted
cost]]-Savings92[[#This Row],[Actual
cost]]</f>
        <v>0</v>
      </c>
    </row>
    <row r="7" spans="2:12" ht="15" customHeight="1">
      <c r="B7" s="18" t="s">
        <v>46</v>
      </c>
      <c r="C7" s="17"/>
      <c r="D7" s="17"/>
      <c r="E7" s="58"/>
      <c r="F7" s="17">
        <f>Housing102[[#This Row],[Budgeted
cost]]-Housing102[[#This Row],[Actual
cost]]</f>
        <v>0</v>
      </c>
      <c r="G7" s="56"/>
      <c r="H7" s="18" t="s">
        <v>47</v>
      </c>
      <c r="I7" s="17"/>
      <c r="J7" s="17"/>
      <c r="K7" s="58"/>
      <c r="L7" s="17">
        <f>Savings92[[#This Row],[Budgeted
cost]]-Savings92[[#This Row],[Actual
cost]]</f>
        <v>0</v>
      </c>
    </row>
    <row r="8" spans="2:12" ht="15" customHeight="1">
      <c r="B8" s="18" t="s">
        <v>48</v>
      </c>
      <c r="C8" s="17"/>
      <c r="D8" s="17"/>
      <c r="E8" s="58"/>
      <c r="F8" s="17">
        <f>Housing102[[#This Row],[Budgeted
cost]]-Housing102[[#This Row],[Actual
cost]]</f>
        <v>0</v>
      </c>
      <c r="G8" s="56"/>
      <c r="H8" s="18" t="s">
        <v>49</v>
      </c>
      <c r="I8" s="17"/>
      <c r="J8" s="17"/>
      <c r="K8" s="58"/>
      <c r="L8" s="17">
        <f>Savings92[[#This Row],[Budgeted
cost]]-Savings92[[#This Row],[Actual
cost]]</f>
        <v>0</v>
      </c>
    </row>
    <row r="9" spans="2:12" ht="15" customHeight="1">
      <c r="B9" s="18" t="s">
        <v>50</v>
      </c>
      <c r="C9" s="17"/>
      <c r="D9" s="17"/>
      <c r="E9" s="58"/>
      <c r="F9" s="17">
        <f>Housing102[[#This Row],[Budgeted
cost]]-Housing102[[#This Row],[Actual
cost]]</f>
        <v>0</v>
      </c>
      <c r="G9" s="56"/>
      <c r="H9" s="18" t="s">
        <v>49</v>
      </c>
      <c r="I9" s="17"/>
      <c r="J9" s="17"/>
      <c r="K9" s="58"/>
      <c r="L9" s="17">
        <f>Savings92[[#This Row],[Budgeted
cost]]-Savings92[[#This Row],[Actual
cost]]</f>
        <v>0</v>
      </c>
    </row>
    <row r="10" spans="2:12" ht="15" customHeight="1">
      <c r="B10" s="18" t="s">
        <v>51</v>
      </c>
      <c r="C10" s="17"/>
      <c r="D10" s="17"/>
      <c r="E10" s="58"/>
      <c r="F10" s="17">
        <f>Housing102[[#This Row],[Budgeted
cost]]-Housing102[[#This Row],[Actual
cost]]</f>
        <v>0</v>
      </c>
      <c r="G10" s="56"/>
      <c r="H10" s="18" t="s">
        <v>31</v>
      </c>
      <c r="I10" s="19">
        <f>SUBTOTAL(109,Savings92[Budgeted
cost])</f>
        <v>0</v>
      </c>
      <c r="J10" s="19">
        <f>SUBTOTAL(109,Savings92[Actual
cost])</f>
        <v>0</v>
      </c>
      <c r="K10" s="61"/>
      <c r="L10" s="19">
        <f>SUBTOTAL(109,Savings92[Difference])</f>
        <v>0</v>
      </c>
    </row>
    <row r="11" spans="2:12" ht="15" customHeight="1">
      <c r="B11" s="18" t="s">
        <v>52</v>
      </c>
      <c r="C11" s="17"/>
      <c r="D11" s="17"/>
      <c r="E11" s="58"/>
      <c r="F11" s="17">
        <f>Housing102[[#This Row],[Budgeted
cost]]-Housing102[[#This Row],[Actual
cost]]</f>
        <v>0</v>
      </c>
      <c r="G11" s="56"/>
      <c r="H11" s="56"/>
      <c r="I11" s="56"/>
      <c r="J11" s="56"/>
    </row>
    <row r="12" spans="2:12" ht="15" customHeight="1">
      <c r="B12" s="18" t="s">
        <v>49</v>
      </c>
      <c r="C12" s="17"/>
      <c r="D12" s="17"/>
      <c r="E12" s="58"/>
      <c r="F12" s="17">
        <f>Housing102[[#This Row],[Budgeted
cost]]-Housing102[[#This Row],[Actual
cost]]</f>
        <v>0</v>
      </c>
      <c r="G12" s="56"/>
    </row>
    <row r="13" spans="2:12" ht="15" customHeight="1">
      <c r="B13" s="18" t="s">
        <v>31</v>
      </c>
      <c r="C13" s="19">
        <f>SUBTOTAL(109,Housing102[Budgeted
cost])</f>
        <v>0</v>
      </c>
      <c r="D13" s="19">
        <f>SUBTOTAL(109,Housing102[Actual
cost])</f>
        <v>0</v>
      </c>
      <c r="E13"/>
      <c r="F13" s="19">
        <f>SUBTOTAL(109,Housing102[Difference])</f>
        <v>0</v>
      </c>
      <c r="G13" s="56"/>
    </row>
    <row r="14" spans="2:12" ht="15" customHeight="1">
      <c r="B14" s="56"/>
      <c r="C14" s="56"/>
      <c r="D14" s="56"/>
      <c r="E14" s="74"/>
      <c r="F14" s="75"/>
      <c r="G14" s="56"/>
    </row>
    <row r="15" spans="2:12" ht="27.6">
      <c r="B15" s="22" t="s">
        <v>15</v>
      </c>
      <c r="C15" s="21" t="s">
        <v>9</v>
      </c>
      <c r="D15" s="21" t="s">
        <v>10</v>
      </c>
      <c r="E15" s="60" t="s">
        <v>37</v>
      </c>
      <c r="F15" s="21" t="s">
        <v>11</v>
      </c>
      <c r="G15" s="13"/>
      <c r="H15" s="22" t="s">
        <v>23</v>
      </c>
      <c r="I15" s="21" t="s">
        <v>9</v>
      </c>
      <c r="J15" s="23" t="s">
        <v>10</v>
      </c>
      <c r="K15" s="63" t="s">
        <v>37</v>
      </c>
      <c r="L15" s="21" t="s">
        <v>11</v>
      </c>
    </row>
    <row r="16" spans="2:12">
      <c r="B16" s="18" t="s">
        <v>53</v>
      </c>
      <c r="C16" s="17"/>
      <c r="D16" s="17"/>
      <c r="E16" s="58"/>
      <c r="F16" s="17">
        <f>Transportation101[[#This Row],[Budgeted
cost]]-Transportation101[[#This Row],[Actual
cost]]</f>
        <v>0</v>
      </c>
      <c r="G16" s="13"/>
      <c r="H16" s="18" t="s">
        <v>54</v>
      </c>
      <c r="I16" s="17"/>
      <c r="J16" s="17"/>
      <c r="K16" s="58"/>
      <c r="L16" s="17">
        <f>PersonalCare96[[#This Row],[Budgeted
cost]]-PersonalCare96[[#This Row],[Actual
cost]]</f>
        <v>0</v>
      </c>
    </row>
    <row r="17" spans="2:12">
      <c r="B17" s="18" t="s">
        <v>55</v>
      </c>
      <c r="C17" s="17"/>
      <c r="D17" s="17"/>
      <c r="E17" s="58"/>
      <c r="F17" s="17">
        <f>Transportation101[[#This Row],[Budgeted
cost]]-Transportation101[[#This Row],[Actual
cost]]</f>
        <v>0</v>
      </c>
      <c r="G17" s="13"/>
      <c r="H17" s="18" t="s">
        <v>56</v>
      </c>
      <c r="I17" s="17"/>
      <c r="J17" s="17"/>
      <c r="K17" s="58"/>
      <c r="L17" s="17">
        <f>PersonalCare96[[#This Row],[Budgeted
cost]]-PersonalCare96[[#This Row],[Actual
cost]]</f>
        <v>0</v>
      </c>
    </row>
    <row r="18" spans="2:12">
      <c r="B18" s="18" t="s">
        <v>57</v>
      </c>
      <c r="C18" s="17"/>
      <c r="D18" s="17"/>
      <c r="E18" s="58"/>
      <c r="F18" s="17">
        <f>Transportation101[[#This Row],[Budgeted
cost]]-Transportation101[[#This Row],[Actual
cost]]</f>
        <v>0</v>
      </c>
      <c r="G18" s="13"/>
      <c r="H18" s="18" t="s">
        <v>58</v>
      </c>
      <c r="I18" s="17"/>
      <c r="J18" s="17"/>
      <c r="K18" s="58"/>
      <c r="L18" s="17">
        <f>PersonalCare96[[#This Row],[Budgeted
cost]]-PersonalCare96[[#This Row],[Actual
cost]]</f>
        <v>0</v>
      </c>
    </row>
    <row r="19" spans="2:12">
      <c r="B19" s="18" t="s">
        <v>18</v>
      </c>
      <c r="C19" s="17"/>
      <c r="D19" s="17"/>
      <c r="E19" s="58"/>
      <c r="F19" s="17">
        <f>Transportation101[[#This Row],[Budgeted
cost]]-Transportation101[[#This Row],[Actual
cost]]</f>
        <v>0</v>
      </c>
      <c r="G19" s="13"/>
      <c r="H19" s="18" t="s">
        <v>59</v>
      </c>
      <c r="I19" s="17"/>
      <c r="J19" s="17"/>
      <c r="K19" s="58"/>
      <c r="L19" s="17">
        <f>PersonalCare96[[#This Row],[Budgeted
cost]]-PersonalCare96[[#This Row],[Actual
cost]]</f>
        <v>0</v>
      </c>
    </row>
    <row r="20" spans="2:12">
      <c r="B20" s="18" t="s">
        <v>60</v>
      </c>
      <c r="C20" s="17"/>
      <c r="D20" s="17"/>
      <c r="E20" s="58"/>
      <c r="F20" s="17">
        <f>Transportation101[[#This Row],[Budgeted
cost]]-Transportation101[[#This Row],[Actual
cost]]</f>
        <v>0</v>
      </c>
      <c r="G20" s="13"/>
      <c r="H20" s="18" t="s">
        <v>61</v>
      </c>
      <c r="I20" s="17"/>
      <c r="J20" s="17"/>
      <c r="K20" s="58"/>
      <c r="L20" s="17">
        <f>PersonalCare96[[#This Row],[Budgeted
cost]]-PersonalCare96[[#This Row],[Actual
cost]]</f>
        <v>0</v>
      </c>
    </row>
    <row r="21" spans="2:12">
      <c r="B21" s="18" t="s">
        <v>62</v>
      </c>
      <c r="C21" s="17"/>
      <c r="D21" s="17"/>
      <c r="E21" s="58"/>
      <c r="F21" s="17">
        <f>Transportation101[[#This Row],[Budgeted
cost]]-Transportation101[[#This Row],[Actual
cost]]</f>
        <v>0</v>
      </c>
      <c r="G21" s="13"/>
      <c r="H21" s="18" t="s">
        <v>63</v>
      </c>
      <c r="I21" s="17"/>
      <c r="J21" s="17"/>
      <c r="K21" s="58"/>
      <c r="L21" s="17">
        <f>PersonalCare96[[#This Row],[Budgeted
cost]]-PersonalCare96[[#This Row],[Actual
cost]]</f>
        <v>0</v>
      </c>
    </row>
    <row r="22" spans="2:12">
      <c r="B22" s="18" t="s">
        <v>64</v>
      </c>
      <c r="C22" s="17"/>
      <c r="D22" s="17"/>
      <c r="E22" s="58"/>
      <c r="F22" s="17">
        <f>Transportation101[[#This Row],[Budgeted
cost]]-Transportation101[[#This Row],[Actual
cost]]</f>
        <v>0</v>
      </c>
      <c r="G22" s="13"/>
      <c r="H22" s="18" t="s">
        <v>49</v>
      </c>
      <c r="I22" s="17"/>
      <c r="J22" s="17"/>
      <c r="K22" s="58"/>
      <c r="L22" s="17">
        <f>PersonalCare96[[#This Row],[Budgeted
cost]]-PersonalCare96[[#This Row],[Actual
cost]]</f>
        <v>0</v>
      </c>
    </row>
    <row r="23" spans="2:12">
      <c r="B23" s="18" t="s">
        <v>49</v>
      </c>
      <c r="C23" s="17"/>
      <c r="D23" s="17"/>
      <c r="E23" s="58"/>
      <c r="F23" s="17">
        <f>Transportation101[[#This Row],[Budgeted
cost]]-Transportation101[[#This Row],[Actual
cost]]</f>
        <v>0</v>
      </c>
      <c r="G23" s="13"/>
      <c r="H23" s="18" t="s">
        <v>49</v>
      </c>
      <c r="I23" s="17"/>
      <c r="J23" s="17"/>
      <c r="K23" s="58"/>
      <c r="L23" s="17">
        <f>PersonalCare96[[#This Row],[Budgeted
cost]]-PersonalCare96[[#This Row],[Actual
cost]]</f>
        <v>0</v>
      </c>
    </row>
    <row r="24" spans="2:12">
      <c r="B24" s="18" t="s">
        <v>49</v>
      </c>
      <c r="C24" s="17"/>
      <c r="D24" s="17"/>
      <c r="E24" s="58"/>
      <c r="F24" s="17">
        <f>Transportation101[[#This Row],[Budgeted
cost]]-Transportation101[[#This Row],[Actual
cost]]</f>
        <v>0</v>
      </c>
      <c r="G24" s="13"/>
      <c r="H24" s="18" t="s">
        <v>31</v>
      </c>
      <c r="I24" s="19">
        <f>SUBTOTAL(109,PersonalCare96[Budgeted
cost])</f>
        <v>0</v>
      </c>
      <c r="J24" s="19">
        <f>SUBTOTAL(109,PersonalCare96[Actual
cost])</f>
        <v>0</v>
      </c>
      <c r="K24" s="61"/>
      <c r="L24" s="19">
        <f>SUBTOTAL(109,PersonalCare96[Difference])</f>
        <v>0</v>
      </c>
    </row>
    <row r="25" spans="2:12">
      <c r="B25" s="18" t="s">
        <v>31</v>
      </c>
      <c r="C25" s="19">
        <f>SUBTOTAL(109,Transportation101[Budgeted
cost])</f>
        <v>0</v>
      </c>
      <c r="D25" s="19">
        <f>SUBTOTAL(109,Transportation101[Actual
cost])</f>
        <v>0</v>
      </c>
      <c r="E25" s="61"/>
      <c r="F25" s="19">
        <f>SUBTOTAL(109,Transportation101[Difference])</f>
        <v>0</v>
      </c>
      <c r="G25" s="13"/>
    </row>
    <row r="26" spans="2:12" ht="17.45">
      <c r="B26" s="7"/>
      <c r="C26" s="6"/>
      <c r="D26" s="6"/>
      <c r="E26" s="62"/>
      <c r="F26" s="13"/>
    </row>
    <row r="27" spans="2:12" ht="27.6">
      <c r="B27" s="22" t="s">
        <v>18</v>
      </c>
      <c r="C27" s="21" t="s">
        <v>9</v>
      </c>
      <c r="D27" s="21" t="s">
        <v>10</v>
      </c>
      <c r="E27" s="63" t="s">
        <v>37</v>
      </c>
      <c r="F27" s="21" t="s">
        <v>11</v>
      </c>
      <c r="G27" s="13"/>
      <c r="H27" s="22" t="s">
        <v>27</v>
      </c>
      <c r="I27" s="21" t="s">
        <v>9</v>
      </c>
      <c r="J27" s="23" t="s">
        <v>10</v>
      </c>
      <c r="K27" s="63" t="s">
        <v>37</v>
      </c>
      <c r="L27" s="21" t="s">
        <v>11</v>
      </c>
    </row>
    <row r="28" spans="2:12">
      <c r="B28" s="18" t="s">
        <v>65</v>
      </c>
      <c r="C28" s="17"/>
      <c r="D28" s="17"/>
      <c r="E28" s="58"/>
      <c r="F28" s="17">
        <f>Insurance100[[#This Row],[Budgeted
cost]]-Insurance100[[#This Row],[Actual
cost]]</f>
        <v>0</v>
      </c>
      <c r="G28" s="13"/>
      <c r="H28" s="18" t="s">
        <v>20</v>
      </c>
      <c r="I28" s="17"/>
      <c r="J28" s="17"/>
      <c r="K28" s="58"/>
      <c r="L28" s="17">
        <f>Pets97[[#This Row],[Budgeted
cost]]-Pets97[[#This Row],[Actual
cost]]</f>
        <v>0</v>
      </c>
    </row>
    <row r="29" spans="2:12">
      <c r="B29" s="18" t="s">
        <v>66</v>
      </c>
      <c r="C29" s="17"/>
      <c r="D29" s="17"/>
      <c r="E29" s="58"/>
      <c r="F29" s="17">
        <f>Insurance100[[#This Row],[Budgeted
cost]]-Insurance100[[#This Row],[Actual
cost]]</f>
        <v>0</v>
      </c>
      <c r="G29" s="13"/>
      <c r="H29" s="18" t="s">
        <v>54</v>
      </c>
      <c r="I29" s="17"/>
      <c r="J29" s="17"/>
      <c r="K29" s="58"/>
      <c r="L29" s="17">
        <f>Pets97[[#This Row],[Budgeted
cost]]-Pets97[[#This Row],[Actual
cost]]</f>
        <v>0</v>
      </c>
    </row>
    <row r="30" spans="2:12">
      <c r="B30" s="18" t="s">
        <v>67</v>
      </c>
      <c r="C30" s="17"/>
      <c r="D30" s="17"/>
      <c r="E30" s="58"/>
      <c r="F30" s="17">
        <f>Insurance100[[#This Row],[Budgeted
cost]]-Insurance100[[#This Row],[Actual
cost]]</f>
        <v>0</v>
      </c>
      <c r="G30" s="13"/>
      <c r="H30" s="18" t="s">
        <v>68</v>
      </c>
      <c r="I30" s="17"/>
      <c r="J30" s="17"/>
      <c r="K30" s="58"/>
      <c r="L30" s="17">
        <f>Pets97[[#This Row],[Budgeted
cost]]-Pets97[[#This Row],[Actual
cost]]</f>
        <v>0</v>
      </c>
    </row>
    <row r="31" spans="2:12">
      <c r="B31" s="18" t="s">
        <v>49</v>
      </c>
      <c r="C31" s="17"/>
      <c r="D31" s="17"/>
      <c r="E31" s="58"/>
      <c r="F31" s="17">
        <f>Insurance100[[#This Row],[Budgeted
cost]]-Insurance100[[#This Row],[Actual
cost]]</f>
        <v>0</v>
      </c>
      <c r="G31" s="13"/>
      <c r="H31" s="18" t="s">
        <v>69</v>
      </c>
      <c r="I31" s="17"/>
      <c r="J31" s="17"/>
      <c r="K31" s="58"/>
      <c r="L31" s="17">
        <f>Pets97[[#This Row],[Budgeted
cost]]-Pets97[[#This Row],[Actual
cost]]</f>
        <v>0</v>
      </c>
    </row>
    <row r="32" spans="2:12">
      <c r="B32" s="18" t="s">
        <v>49</v>
      </c>
      <c r="C32" s="17"/>
      <c r="D32" s="17"/>
      <c r="E32" s="58"/>
      <c r="F32" s="17">
        <f>Insurance100[[#This Row],[Budgeted
cost]]-Insurance100[[#This Row],[Actual
cost]]</f>
        <v>0</v>
      </c>
      <c r="G32" s="13"/>
      <c r="H32" s="18" t="s">
        <v>49</v>
      </c>
      <c r="I32" s="17"/>
      <c r="J32" s="17"/>
      <c r="K32" s="58"/>
      <c r="L32" s="17">
        <f>Pets97[[#This Row],[Budgeted
cost]]-Pets97[[#This Row],[Actual
cost]]</f>
        <v>0</v>
      </c>
    </row>
    <row r="33" spans="2:12">
      <c r="B33" s="18" t="s">
        <v>31</v>
      </c>
      <c r="C33" s="19">
        <f>SUBTOTAL(109,Insurance100[Budgeted
cost])</f>
        <v>0</v>
      </c>
      <c r="D33" s="19">
        <f>SUBTOTAL(109,Insurance100[Actual
cost])</f>
        <v>0</v>
      </c>
      <c r="E33" s="61"/>
      <c r="F33" s="19">
        <f>SUBTOTAL(109,Insurance100[Difference])</f>
        <v>0</v>
      </c>
      <c r="G33" s="13"/>
      <c r="H33" s="18" t="s">
        <v>31</v>
      </c>
      <c r="I33" s="19">
        <f>SUBTOTAL(109,Pets97[Budgeted
cost])</f>
        <v>0</v>
      </c>
      <c r="J33" s="19">
        <f>SUBTOTAL(109,Pets97[Actual
cost])</f>
        <v>0</v>
      </c>
      <c r="K33" s="64"/>
      <c r="L33" s="19">
        <f>SUBTOTAL(109,Pets97[Difference])</f>
        <v>0</v>
      </c>
    </row>
    <row r="34" spans="2:12" ht="17.45">
      <c r="B34" s="7"/>
      <c r="C34" s="6"/>
      <c r="D34" s="6"/>
      <c r="E34" s="62"/>
      <c r="F34" s="13"/>
    </row>
    <row r="35" spans="2:12" ht="27.6">
      <c r="B35" s="22" t="s">
        <v>20</v>
      </c>
      <c r="C35" s="57" t="s">
        <v>9</v>
      </c>
      <c r="D35" s="21" t="s">
        <v>10</v>
      </c>
      <c r="E35" s="63" t="s">
        <v>37</v>
      </c>
      <c r="F35" s="21" t="s">
        <v>11</v>
      </c>
      <c r="H35" s="22" t="s">
        <v>21</v>
      </c>
      <c r="I35" s="21" t="s">
        <v>70</v>
      </c>
      <c r="J35" s="23" t="s">
        <v>71</v>
      </c>
      <c r="K35" s="63" t="s">
        <v>37</v>
      </c>
      <c r="L35" s="21" t="s">
        <v>11</v>
      </c>
    </row>
    <row r="36" spans="2:12">
      <c r="B36" s="18" t="s">
        <v>72</v>
      </c>
      <c r="C36" s="17"/>
      <c r="D36" s="17"/>
      <c r="E36" s="58"/>
      <c r="F36" s="17">
        <f>Food99[[#This Row],[Budgeted
cost]]-Food99[[#This Row],[Actual
cost]]</f>
        <v>0</v>
      </c>
      <c r="H36" s="18" t="s">
        <v>73</v>
      </c>
      <c r="I36" s="17"/>
      <c r="J36" s="17"/>
      <c r="K36" s="58"/>
      <c r="L36" s="17">
        <f>Taxes93[[#This Row],[Budgeted 
cost]]-Taxes93[[#This Row],[Actual 
cost]]</f>
        <v>0</v>
      </c>
    </row>
    <row r="37" spans="2:12">
      <c r="B37" s="18" t="s">
        <v>74</v>
      </c>
      <c r="C37" s="17"/>
      <c r="D37" s="17"/>
      <c r="E37" s="58"/>
      <c r="F37" s="17">
        <f>Food99[[#This Row],[Budgeted
cost]]-Food99[[#This Row],[Actual
cost]]</f>
        <v>0</v>
      </c>
      <c r="G37" s="13"/>
      <c r="H37" s="18" t="s">
        <v>75</v>
      </c>
      <c r="I37" s="17"/>
      <c r="J37" s="17"/>
      <c r="K37" s="58"/>
      <c r="L37" s="17">
        <f>Taxes93[[#This Row],[Budgeted 
cost]]-Taxes93[[#This Row],[Actual 
cost]]</f>
        <v>0</v>
      </c>
    </row>
    <row r="38" spans="2:12">
      <c r="B38" s="18" t="s">
        <v>76</v>
      </c>
      <c r="C38" s="17"/>
      <c r="D38" s="17"/>
      <c r="E38" s="58"/>
      <c r="F38" s="17">
        <f>Food99[[#This Row],[Budgeted
cost]]-Food99[[#This Row],[Actual
cost]]</f>
        <v>0</v>
      </c>
      <c r="G38" s="13"/>
      <c r="H38" s="18" t="s">
        <v>49</v>
      </c>
      <c r="I38" s="17"/>
      <c r="J38" s="17"/>
      <c r="K38" s="58"/>
      <c r="L38" s="17">
        <f>Taxes93[[#This Row],[Budgeted 
cost]]-Taxes93[[#This Row],[Actual 
cost]]</f>
        <v>0</v>
      </c>
    </row>
    <row r="39" spans="2:12">
      <c r="B39" s="18" t="s">
        <v>49</v>
      </c>
      <c r="C39" s="17"/>
      <c r="D39" s="17"/>
      <c r="E39" s="58"/>
      <c r="F39" s="17">
        <f>Food99[[#This Row],[Budgeted
cost]]-Food99[[#This Row],[Actual
cost]]</f>
        <v>0</v>
      </c>
      <c r="G39" s="13"/>
      <c r="H39" s="18" t="s">
        <v>49</v>
      </c>
      <c r="I39" s="17"/>
      <c r="J39" s="17"/>
      <c r="K39" s="58"/>
      <c r="L39" s="17">
        <f>Taxes93[[#This Row],[Budgeted 
cost]]-Taxes93[[#This Row],[Actual 
cost]]</f>
        <v>0</v>
      </c>
    </row>
    <row r="40" spans="2:12">
      <c r="B40" s="18" t="s">
        <v>49</v>
      </c>
      <c r="C40" s="17"/>
      <c r="D40" s="17"/>
      <c r="E40" s="58"/>
      <c r="F40" s="17">
        <f>Food99[[#This Row],[Budgeted
cost]]-Food99[[#This Row],[Actual
cost]]</f>
        <v>0</v>
      </c>
      <c r="G40" s="13"/>
      <c r="H40" s="18" t="s">
        <v>31</v>
      </c>
      <c r="I40" s="19">
        <f>SUBTOTAL(109,Taxes93[Budgeted 
cost])</f>
        <v>0</v>
      </c>
      <c r="J40" s="19">
        <f>SUBTOTAL(109,Taxes93[Actual 
cost])</f>
        <v>0</v>
      </c>
      <c r="K40" s="61"/>
      <c r="L40" s="19">
        <f>SUBTOTAL(109,Taxes93[Difference])</f>
        <v>0</v>
      </c>
    </row>
    <row r="41" spans="2:12" ht="15">
      <c r="B41" s="18" t="s">
        <v>31</v>
      </c>
      <c r="C41" s="19">
        <f>SUBTOTAL(109,Food99[Budgeted
cost])</f>
        <v>0</v>
      </c>
      <c r="D41" s="19">
        <f>SUBTOTAL(109,Food99[Actual
cost])</f>
        <v>0</v>
      </c>
      <c r="E41" s="61"/>
      <c r="F41" s="19">
        <f>SUBTOTAL(109,Food99[Difference])</f>
        <v>0</v>
      </c>
      <c r="G41" s="13"/>
      <c r="H41" s="3"/>
      <c r="I41" s="4"/>
      <c r="J41" s="4"/>
      <c r="K41" s="65"/>
    </row>
    <row r="42" spans="2:12" ht="24.6">
      <c r="B42" s="5"/>
      <c r="C42" s="6"/>
      <c r="D42" s="6"/>
      <c r="E42" s="62"/>
      <c r="F42" s="13"/>
      <c r="G42" s="13"/>
      <c r="I42" s="20"/>
      <c r="J42" s="20"/>
      <c r="K42" s="59"/>
    </row>
    <row r="43" spans="2:12" ht="27.6">
      <c r="B43" s="22" t="s">
        <v>22</v>
      </c>
      <c r="C43" s="21" t="s">
        <v>9</v>
      </c>
      <c r="D43" s="21" t="s">
        <v>10</v>
      </c>
      <c r="E43" s="63" t="s">
        <v>37</v>
      </c>
      <c r="F43" s="21" t="s">
        <v>11</v>
      </c>
      <c r="G43" s="13"/>
      <c r="H43" s="22" t="s">
        <v>16</v>
      </c>
      <c r="I43" s="21" t="s">
        <v>9</v>
      </c>
      <c r="J43" s="23" t="s">
        <v>10</v>
      </c>
      <c r="K43" s="63" t="s">
        <v>37</v>
      </c>
      <c r="L43" s="21" t="s">
        <v>11</v>
      </c>
    </row>
    <row r="44" spans="2:12">
      <c r="B44" s="18" t="s">
        <v>54</v>
      </c>
      <c r="C44" s="17"/>
      <c r="D44" s="17"/>
      <c r="E44" s="58"/>
      <c r="F44" s="17">
        <f>Children98[[#This Row],[Budgeted
cost]]-Children98[[#This Row],[Actual
cost]]</f>
        <v>0</v>
      </c>
      <c r="H44" s="18" t="s">
        <v>77</v>
      </c>
      <c r="I44" s="17"/>
      <c r="J44" s="17"/>
      <c r="K44" s="58"/>
      <c r="L44" s="17">
        <f>Loans94[[#This Row],[Budgeted
cost]]-Loans94[[#This Row],[Actual
cost]]</f>
        <v>0</v>
      </c>
    </row>
    <row r="45" spans="2:12">
      <c r="B45" s="18" t="s">
        <v>58</v>
      </c>
      <c r="C45" s="17"/>
      <c r="D45" s="17"/>
      <c r="E45" s="58"/>
      <c r="F45" s="17">
        <f>Children98[[#This Row],[Budgeted
cost]]-Children98[[#This Row],[Actual
cost]]</f>
        <v>0</v>
      </c>
      <c r="G45" s="13"/>
      <c r="H45" s="18" t="s">
        <v>78</v>
      </c>
      <c r="I45" s="17"/>
      <c r="J45" s="17"/>
      <c r="K45" s="58"/>
      <c r="L45" s="17">
        <f>Loans94[[#This Row],[Budgeted
cost]]-Loans94[[#This Row],[Actual
cost]]</f>
        <v>0</v>
      </c>
    </row>
    <row r="46" spans="2:12">
      <c r="B46" s="18" t="s">
        <v>79</v>
      </c>
      <c r="C46" s="17"/>
      <c r="D46" s="17"/>
      <c r="E46" s="58"/>
      <c r="F46" s="17">
        <f>Children98[[#This Row],[Budgeted
cost]]-Children98[[#This Row],[Actual
cost]]</f>
        <v>0</v>
      </c>
      <c r="G46" s="13"/>
      <c r="H46" s="18" t="s">
        <v>80</v>
      </c>
      <c r="I46" s="17"/>
      <c r="J46" s="17"/>
      <c r="K46" s="58"/>
      <c r="L46" s="17">
        <f>Loans94[[#This Row],[Budgeted
cost]]-Loans94[[#This Row],[Actual
cost]]</f>
        <v>0</v>
      </c>
    </row>
    <row r="47" spans="2:12">
      <c r="B47" s="18" t="s">
        <v>81</v>
      </c>
      <c r="C47" s="17"/>
      <c r="D47" s="17"/>
      <c r="E47" s="58"/>
      <c r="F47" s="17">
        <f>Children98[[#This Row],[Budgeted
cost]]-Children98[[#This Row],[Actual
cost]]</f>
        <v>0</v>
      </c>
      <c r="G47" s="13"/>
      <c r="H47" s="18" t="s">
        <v>80</v>
      </c>
      <c r="I47" s="17"/>
      <c r="J47" s="17"/>
      <c r="K47" s="58"/>
      <c r="L47" s="17">
        <f>Loans94[[#This Row],[Budgeted
cost]]-Loans94[[#This Row],[Actual
cost]]</f>
        <v>0</v>
      </c>
    </row>
    <row r="48" spans="2:12">
      <c r="B48" s="18" t="s">
        <v>63</v>
      </c>
      <c r="C48" s="17"/>
      <c r="D48" s="17"/>
      <c r="E48" s="58"/>
      <c r="F48" s="17">
        <f>Children98[[#This Row],[Budgeted
cost]]-Children98[[#This Row],[Actual
cost]]</f>
        <v>0</v>
      </c>
      <c r="G48" s="13"/>
      <c r="H48" s="18" t="s">
        <v>80</v>
      </c>
      <c r="I48" s="17"/>
      <c r="J48" s="17"/>
      <c r="K48" s="58"/>
      <c r="L48" s="17">
        <f>Loans94[[#This Row],[Budgeted
cost]]-Loans94[[#This Row],[Actual
cost]]</f>
        <v>0</v>
      </c>
    </row>
    <row r="49" spans="2:12">
      <c r="B49" s="18" t="s">
        <v>82</v>
      </c>
      <c r="C49" s="17"/>
      <c r="D49" s="17"/>
      <c r="E49" s="58"/>
      <c r="F49" s="17">
        <f>Children98[[#This Row],[Budgeted
cost]]-Children98[[#This Row],[Actual
cost]]</f>
        <v>0</v>
      </c>
      <c r="G49" s="13"/>
      <c r="H49" s="18" t="s">
        <v>49</v>
      </c>
      <c r="I49" s="17"/>
      <c r="J49" s="17"/>
      <c r="K49" s="58"/>
      <c r="L49" s="17">
        <f>Loans94[[#This Row],[Budgeted
cost]]-Loans94[[#This Row],[Actual
cost]]</f>
        <v>0</v>
      </c>
    </row>
    <row r="50" spans="2:12">
      <c r="B50" s="18" t="s">
        <v>83</v>
      </c>
      <c r="C50" s="17"/>
      <c r="D50" s="17"/>
      <c r="E50" s="58"/>
      <c r="F50" s="17">
        <f>Children98[[#This Row],[Budgeted
cost]]-Children98[[#This Row],[Actual
cost]]</f>
        <v>0</v>
      </c>
      <c r="G50" s="13"/>
      <c r="H50" s="18" t="s">
        <v>49</v>
      </c>
      <c r="I50" s="17"/>
      <c r="J50" s="17"/>
      <c r="K50" s="58"/>
      <c r="L50" s="17">
        <f>Loans94[[#This Row],[Budgeted
cost]]-Loans94[[#This Row],[Actual
cost]]</f>
        <v>0</v>
      </c>
    </row>
    <row r="51" spans="2:12">
      <c r="B51" s="18" t="s">
        <v>84</v>
      </c>
      <c r="C51" s="17"/>
      <c r="D51" s="17"/>
      <c r="E51" s="58"/>
      <c r="F51" s="17">
        <f>Children98[[#This Row],[Budgeted
cost]]-Children98[[#This Row],[Actual
cost]]</f>
        <v>0</v>
      </c>
      <c r="G51" s="13"/>
      <c r="H51" s="18" t="s">
        <v>31</v>
      </c>
      <c r="I51" s="19">
        <f>SUBTOTAL(109,Loans94[Budgeted
cost])</f>
        <v>0</v>
      </c>
      <c r="J51" s="19">
        <f>SUBTOTAL(109,Loans94[Actual
cost])</f>
        <v>0</v>
      </c>
      <c r="K51" s="61"/>
      <c r="L51" s="19">
        <f>SUBTOTAL(109,Loans94[Difference])</f>
        <v>0</v>
      </c>
    </row>
    <row r="52" spans="2:12">
      <c r="B52" s="18" t="s">
        <v>49</v>
      </c>
      <c r="C52" s="17"/>
      <c r="D52" s="17"/>
      <c r="E52" s="58"/>
      <c r="F52" s="17">
        <f>Children98[[#This Row],[Budgeted
cost]]-Children98[[#This Row],[Actual
cost]]</f>
        <v>0</v>
      </c>
      <c r="G52" s="13"/>
    </row>
    <row r="53" spans="2:12" ht="17.45">
      <c r="B53" s="18" t="s">
        <v>49</v>
      </c>
      <c r="C53" s="17"/>
      <c r="D53" s="17"/>
      <c r="E53" s="58"/>
      <c r="F53" s="17">
        <f>Children98[[#This Row],[Budgeted
cost]]-Children98[[#This Row],[Actual
cost]]</f>
        <v>0</v>
      </c>
      <c r="G53" s="13"/>
      <c r="H53" s="7"/>
      <c r="I53" s="6"/>
      <c r="J53" s="6"/>
      <c r="K53" s="62"/>
    </row>
    <row r="54" spans="2:12">
      <c r="B54" s="18" t="s">
        <v>31</v>
      </c>
      <c r="C54" s="19">
        <f>SUBTOTAL(109,Children98[Budgeted
cost])</f>
        <v>0</v>
      </c>
      <c r="D54" s="19">
        <f>SUBTOTAL(109,Children98[Actual
cost])</f>
        <v>0</v>
      </c>
      <c r="E54" s="61"/>
      <c r="F54" s="19">
        <f>SUBTOTAL(109,Children98[Difference])</f>
        <v>0</v>
      </c>
      <c r="G54" s="13"/>
    </row>
    <row r="55" spans="2:12" ht="15">
      <c r="B55" s="5"/>
      <c r="C55" s="6"/>
      <c r="D55" s="6"/>
      <c r="E55" s="62"/>
      <c r="F55" s="13"/>
      <c r="G55" s="13"/>
    </row>
    <row r="56" spans="2:12" ht="27.6">
      <c r="B56" s="22" t="s">
        <v>25</v>
      </c>
      <c r="C56" s="21" t="s">
        <v>9</v>
      </c>
      <c r="D56" s="21" t="s">
        <v>10</v>
      </c>
      <c r="E56" s="63" t="s">
        <v>37</v>
      </c>
      <c r="F56" s="21" t="s">
        <v>11</v>
      </c>
      <c r="G56" s="14"/>
      <c r="H56" s="22" t="s">
        <v>30</v>
      </c>
      <c r="I56" s="21" t="s">
        <v>9</v>
      </c>
      <c r="J56" s="23" t="s">
        <v>10</v>
      </c>
      <c r="K56" s="63" t="s">
        <v>37</v>
      </c>
      <c r="L56" s="21" t="s">
        <v>11</v>
      </c>
    </row>
    <row r="57" spans="2:12">
      <c r="B57" s="18" t="s">
        <v>85</v>
      </c>
      <c r="C57" s="17"/>
      <c r="D57" s="17"/>
      <c r="E57" s="58"/>
      <c r="F57" s="17">
        <f>Legal90[[#This Row],[Budgeted
cost]]-Legal90[[#This Row],[Actual
cost]]</f>
        <v>0</v>
      </c>
      <c r="H57" s="18" t="s">
        <v>86</v>
      </c>
      <c r="I57" s="17"/>
      <c r="J57" s="17"/>
      <c r="K57" s="58"/>
      <c r="L57" s="17">
        <f>Gifts91[[#This Row],[Budgeted
cost]]-Gifts91[[#This Row],[Actual
cost]]</f>
        <v>0</v>
      </c>
    </row>
    <row r="58" spans="2:12">
      <c r="B58" s="18" t="s">
        <v>87</v>
      </c>
      <c r="C58" s="17"/>
      <c r="D58" s="17"/>
      <c r="E58" s="58"/>
      <c r="F58" s="17">
        <f>Legal90[[#This Row],[Budgeted
cost]]-Legal90[[#This Row],[Actual
cost]]</f>
        <v>0</v>
      </c>
      <c r="G58" s="13"/>
      <c r="H58" s="18" t="s">
        <v>88</v>
      </c>
      <c r="I58" s="17"/>
      <c r="J58" s="17"/>
      <c r="K58" s="58"/>
      <c r="L58" s="17">
        <f>Gifts91[[#This Row],[Budgeted
cost]]-Gifts91[[#This Row],[Actual
cost]]</f>
        <v>0</v>
      </c>
    </row>
    <row r="59" spans="2:12">
      <c r="B59" s="18" t="s">
        <v>89</v>
      </c>
      <c r="C59" s="17"/>
      <c r="D59" s="17"/>
      <c r="E59" s="58"/>
      <c r="F59" s="17">
        <f>Legal90[[#This Row],[Budgeted
cost]]-Legal90[[#This Row],[Actual
cost]]</f>
        <v>0</v>
      </c>
      <c r="G59" s="13"/>
      <c r="H59" s="18" t="s">
        <v>90</v>
      </c>
      <c r="I59" s="17"/>
      <c r="J59" s="17"/>
      <c r="K59" s="58"/>
      <c r="L59" s="17">
        <f>Gifts91[[#This Row],[Budgeted
cost]]-Gifts91[[#This Row],[Actual
cost]]</f>
        <v>0</v>
      </c>
    </row>
    <row r="60" spans="2:12">
      <c r="B60" s="18" t="s">
        <v>49</v>
      </c>
      <c r="C60" s="17"/>
      <c r="D60" s="17"/>
      <c r="E60" s="58"/>
      <c r="F60" s="17">
        <f>Legal90[[#This Row],[Budgeted
cost]]-Legal90[[#This Row],[Actual
cost]]</f>
        <v>0</v>
      </c>
      <c r="G60" s="13"/>
      <c r="H60" s="18" t="s">
        <v>31</v>
      </c>
      <c r="I60" s="19">
        <f>SUBTOTAL(109,Gifts91[Budgeted
cost])</f>
        <v>0</v>
      </c>
      <c r="J60" s="19">
        <f>SUBTOTAL(109,Gifts91[Actual
cost])</f>
        <v>0</v>
      </c>
      <c r="K60" s="64"/>
      <c r="L60" s="19">
        <f>SUBTOTAL(109,Gifts91[Difference])</f>
        <v>0</v>
      </c>
    </row>
    <row r="61" spans="2:12">
      <c r="B61" s="18" t="s">
        <v>49</v>
      </c>
      <c r="C61" s="17"/>
      <c r="D61" s="17"/>
      <c r="E61" s="58"/>
      <c r="F61" s="17">
        <f>Legal90[[#This Row],[Budgeted
cost]]-Legal90[[#This Row],[Actual
cost]]</f>
        <v>0</v>
      </c>
      <c r="G61" s="13"/>
    </row>
    <row r="62" spans="2:12">
      <c r="B62" s="18" t="s">
        <v>31</v>
      </c>
      <c r="C62" s="19">
        <f>SUBTOTAL(109,Legal90[Budgeted
cost])</f>
        <v>0</v>
      </c>
      <c r="D62" s="19">
        <f>SUBTOTAL(109,Legal90[Actual
cost])</f>
        <v>0</v>
      </c>
      <c r="E62" s="61"/>
      <c r="F62" s="19">
        <f>SUBTOTAL(109,Legal90[Difference])</f>
        <v>0</v>
      </c>
      <c r="G62" s="13"/>
    </row>
    <row r="63" spans="2:12" ht="24.6">
      <c r="E63" s="12"/>
      <c r="G63" s="15"/>
      <c r="I63" s="20"/>
      <c r="J63" s="20"/>
      <c r="K63" s="59"/>
    </row>
    <row r="64" spans="2:12" ht="27.6">
      <c r="B64" s="22" t="s">
        <v>19</v>
      </c>
      <c r="C64" s="21" t="s">
        <v>9</v>
      </c>
      <c r="D64" s="23" t="s">
        <v>10</v>
      </c>
      <c r="E64" s="63" t="s">
        <v>37</v>
      </c>
      <c r="F64" s="21" t="s">
        <v>11</v>
      </c>
      <c r="G64" s="14"/>
    </row>
    <row r="65" spans="2:10">
      <c r="B65" s="18" t="s">
        <v>91</v>
      </c>
      <c r="C65" s="17"/>
      <c r="D65" s="17"/>
      <c r="E65" s="58"/>
      <c r="F65" s="17">
        <f>Entertainment95[[#This Row],[Budgeted
cost]]-Entertainment95[[#This Row],[Actual
cost]]</f>
        <v>0</v>
      </c>
    </row>
    <row r="66" spans="2:10">
      <c r="B66" s="18" t="s">
        <v>92</v>
      </c>
      <c r="C66" s="17"/>
      <c r="D66" s="17"/>
      <c r="E66" s="58"/>
      <c r="F66" s="17">
        <f>Entertainment95[[#This Row],[Budgeted
cost]]-Entertainment95[[#This Row],[Actual
cost]]</f>
        <v>0</v>
      </c>
      <c r="G66" s="13"/>
    </row>
    <row r="67" spans="2:10">
      <c r="B67" s="18" t="s">
        <v>93</v>
      </c>
      <c r="C67" s="17"/>
      <c r="D67" s="17"/>
      <c r="E67" s="58"/>
      <c r="F67" s="17">
        <f>Entertainment95[[#This Row],[Budgeted
cost]]-Entertainment95[[#This Row],[Actual
cost]]</f>
        <v>0</v>
      </c>
      <c r="G67" s="13"/>
    </row>
    <row r="68" spans="2:10">
      <c r="B68" s="18" t="s">
        <v>94</v>
      </c>
      <c r="C68" s="17"/>
      <c r="D68" s="17"/>
      <c r="E68" s="58"/>
      <c r="F68" s="17">
        <f>Entertainment95[[#This Row],[Budgeted
cost]]-Entertainment95[[#This Row],[Actual
cost]]</f>
        <v>0</v>
      </c>
    </row>
    <row r="69" spans="2:10">
      <c r="B69" s="18" t="s">
        <v>95</v>
      </c>
      <c r="C69" s="17"/>
      <c r="D69" s="17"/>
      <c r="E69" s="58"/>
      <c r="F69" s="17">
        <f>Entertainment95[[#This Row],[Budgeted
cost]]-Entertainment95[[#This Row],[Actual
cost]]</f>
        <v>0</v>
      </c>
    </row>
    <row r="70" spans="2:10">
      <c r="B70" s="18" t="s">
        <v>96</v>
      </c>
      <c r="C70" s="17"/>
      <c r="D70" s="17"/>
      <c r="E70" s="58"/>
      <c r="F70" s="17">
        <f>Entertainment95[[#This Row],[Budgeted
cost]]-Entertainment95[[#This Row],[Actual
cost]]</f>
        <v>0</v>
      </c>
    </row>
    <row r="71" spans="2:10">
      <c r="B71" s="18" t="s">
        <v>49</v>
      </c>
      <c r="C71" s="17"/>
      <c r="D71" s="17"/>
      <c r="E71" s="58"/>
      <c r="F71" s="17">
        <f>Entertainment95[[#This Row],[Budgeted
cost]]-Entertainment95[[#This Row],[Actual
cost]]</f>
        <v>0</v>
      </c>
    </row>
    <row r="72" spans="2:10">
      <c r="B72" s="18" t="s">
        <v>31</v>
      </c>
      <c r="C72" s="19">
        <f>SUBTOTAL(109,Entertainment95[Budgeted
cost])</f>
        <v>0</v>
      </c>
      <c r="D72" s="19">
        <f>SUBTOTAL(109,Entertainment95[Actual
cost])</f>
        <v>0</v>
      </c>
      <c r="E72" s="64"/>
      <c r="F72" s="19">
        <f>SUBTOTAL(109,Entertainment95[Difference])</f>
        <v>0</v>
      </c>
      <c r="J72" s="16"/>
    </row>
    <row r="73" spans="2:10">
      <c r="E73" s="12"/>
    </row>
    <row r="74" spans="2:10">
      <c r="E74" s="12"/>
    </row>
  </sheetData>
  <conditionalFormatting sqref="B1:B14 F1:F14 G1:G25 H3:L10 H16:L24 B16:F26 G27:G33 H28:L33 B28:F34 H36:L40 B36:F42 G37:G43 H41:K41 H44:L51 B44:F55 G45:G56 H53:K53 H57:L60 B57:F62 G58:G64 B65:F72 G66:G67">
    <cfRule type="cellIs" dxfId="1199" priority="3" operator="lessThan">
      <formula>0</formula>
    </cfRule>
  </conditionalFormatting>
  <conditionalFormatting sqref="B3:F13">
    <cfRule type="cellIs" dxfId="1198" priority="2" operator="lessThan">
      <formula>0</formula>
    </cfRule>
  </conditionalFormatting>
  <conditionalFormatting sqref="F3:F12">
    <cfRule type="iconSet" priority="1">
      <iconSet iconSet="3Arrows">
        <cfvo type="percentile" val="0"/>
        <cfvo type="num" val="-50"/>
        <cfvo type="num" val="50"/>
      </iconSet>
    </cfRule>
  </conditionalFormatting>
  <conditionalFormatting sqref="L28:L32 L57:L59 F65:F71 L36:L39 F16:F24 L44:L50 F28:F32 F36:F40 F44:F53 L16:L23 F57:F61 L3:L9">
    <cfRule type="iconSet" priority="4">
      <iconSet iconSet="3Arrows">
        <cfvo type="percentile" val="0"/>
        <cfvo type="num" val="-50"/>
        <cfvo type="num" val="50"/>
      </iconSet>
    </cfRule>
  </conditionalFormatting>
  <dataValidations count="1">
    <dataValidation allowBlank="1" showInputMessage="1" showErrorMessage="1" prompt="Enter details in Transportation table below and in Insurance table starting in cell B30" sqref="G1:G14 B1:B12 B14" xr:uid="{01DC3F2A-D8E6-4DEB-910D-26E20723EC03}"/>
  </dataValidations>
  <pageMargins left="0.7" right="0.7" top="0.75" bottom="0.75" header="0.3" footer="0.3"/>
  <pageSetup orientation="landscape" horizontalDpi="1200" verticalDpi="1200" r:id="rId1"/>
  <headerFooter>
    <oddFooter>&amp;C&amp;P&amp;R&amp;G</oddFooter>
  </headerFooter>
  <legacyDrawingHF r:id="rId2"/>
  <tableParts count="13">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0442D-7530-4DA8-8D31-1975A766A4D1}">
  <sheetPr>
    <tabColor theme="4"/>
  </sheetPr>
  <dimension ref="B1:J61"/>
  <sheetViews>
    <sheetView zoomScale="70" zoomScaleNormal="70" zoomScalePageLayoutView="70" workbookViewId="0">
      <selection activeCell="D3" sqref="D3"/>
    </sheetView>
  </sheetViews>
  <sheetFormatPr defaultColWidth="9" defaultRowHeight="30" customHeight="1"/>
  <cols>
    <col min="1" max="1" width="1.25" customWidth="1"/>
    <col min="2" max="6" width="24.625" customWidth="1"/>
    <col min="7" max="7" width="7.75" customWidth="1"/>
    <col min="8" max="8" width="32.875" customWidth="1"/>
    <col min="9" max="9" width="32.875" style="2" customWidth="1"/>
    <col min="10" max="10" width="2.375" customWidth="1"/>
  </cols>
  <sheetData>
    <row r="1" spans="2:10" ht="77.25" customHeight="1">
      <c r="B1" s="113" t="s">
        <v>98</v>
      </c>
      <c r="C1" s="113"/>
      <c r="D1" s="113"/>
      <c r="E1" s="113"/>
      <c r="F1" s="113"/>
      <c r="G1" s="113"/>
      <c r="H1" s="113"/>
      <c r="I1" s="26"/>
      <c r="J1" s="27"/>
    </row>
    <row r="2" spans="2:10" ht="35.450000000000003">
      <c r="B2" s="54" t="s">
        <v>1</v>
      </c>
      <c r="C2" s="24" t="s">
        <v>2</v>
      </c>
      <c r="D2" s="55" t="s">
        <v>3</v>
      </c>
      <c r="E2" s="25" t="s">
        <v>4</v>
      </c>
      <c r="F2" s="1"/>
      <c r="H2" s="36"/>
      <c r="I2" s="26"/>
      <c r="J2" s="29"/>
    </row>
    <row r="3" spans="2:10" ht="35.450000000000003">
      <c r="B3" s="11"/>
      <c r="C3" s="76">
        <f>C19</f>
        <v>0</v>
      </c>
      <c r="D3" s="76">
        <f>D19</f>
        <v>0</v>
      </c>
      <c r="E3" s="78">
        <f>SUM(C3-D3)</f>
        <v>0</v>
      </c>
      <c r="F3" s="1"/>
      <c r="H3" s="36"/>
      <c r="I3" s="26"/>
      <c r="J3" s="29"/>
    </row>
    <row r="4" spans="2:10" ht="35.450000000000003">
      <c r="C4" s="33"/>
      <c r="D4" s="33"/>
      <c r="E4" s="33"/>
      <c r="F4" s="10"/>
      <c r="H4" s="36"/>
      <c r="I4" s="26"/>
      <c r="J4" s="29"/>
    </row>
    <row r="5" spans="2:10" ht="27.6">
      <c r="B5" s="79" t="s">
        <v>8</v>
      </c>
      <c r="C5" s="80" t="s">
        <v>9</v>
      </c>
      <c r="D5" s="80" t="s">
        <v>10</v>
      </c>
      <c r="E5" s="81" t="s">
        <v>11</v>
      </c>
      <c r="G5" s="10"/>
      <c r="H5" s="114" t="s">
        <v>33</v>
      </c>
      <c r="I5" s="115"/>
      <c r="J5" s="30"/>
    </row>
    <row r="6" spans="2:10" ht="15">
      <c r="B6" s="82" t="s">
        <v>13</v>
      </c>
      <c r="C6" s="83">
        <f>Housing[[#Totals],[Budgeted
cost]]</f>
        <v>0</v>
      </c>
      <c r="D6" s="83">
        <f>Housing[[#Totals],[Actual
cost]]</f>
        <v>0</v>
      </c>
      <c r="E6" s="84">
        <f>'March - Overview'!$C6-'March - Overview'!$D6</f>
        <v>0</v>
      </c>
      <c r="G6" s="10"/>
      <c r="H6" s="37" t="s">
        <v>6</v>
      </c>
      <c r="I6" s="38"/>
      <c r="J6" s="28"/>
    </row>
    <row r="7" spans="2:10" ht="15">
      <c r="B7" s="85" t="s">
        <v>15</v>
      </c>
      <c r="C7" s="73">
        <f>Transportation[[#Totals],[Budgeted
cost]]</f>
        <v>0</v>
      </c>
      <c r="D7" s="73">
        <f>Transportation[[#Totals],[Actual
cost]]</f>
        <v>0</v>
      </c>
      <c r="E7" s="86">
        <f>'March - Overview'!$C7-'March - Overview'!$D7</f>
        <v>0</v>
      </c>
      <c r="G7" s="10"/>
      <c r="H7" s="69" t="s">
        <v>7</v>
      </c>
      <c r="I7" s="71"/>
      <c r="J7" s="28"/>
    </row>
    <row r="8" spans="2:10" ht="15">
      <c r="B8" s="87" t="s">
        <v>16</v>
      </c>
      <c r="C8" s="72">
        <f>Loans[[#Totals],[Budgeted
cost]]</f>
        <v>0</v>
      </c>
      <c r="D8" s="72">
        <f>Loans[[#Totals],[Actual
cost]]</f>
        <v>0</v>
      </c>
      <c r="E8" s="88">
        <f>'March - Overview'!$C8-'March - Overview'!$D8</f>
        <v>0</v>
      </c>
      <c r="G8" s="10"/>
      <c r="H8" s="41" t="s">
        <v>12</v>
      </c>
      <c r="I8" s="38"/>
      <c r="J8" s="28"/>
    </row>
    <row r="9" spans="2:10" ht="17.45">
      <c r="B9" s="85" t="s">
        <v>18</v>
      </c>
      <c r="C9" s="73">
        <f>Insurance[[#Totals],[Budgeted
cost]]</f>
        <v>0</v>
      </c>
      <c r="D9" s="73">
        <f>Insurance[[#Totals],[Actual
cost]]</f>
        <v>0</v>
      </c>
      <c r="E9" s="86">
        <f>'March - Overview'!$C9-'March - Overview'!$D9</f>
        <v>0</v>
      </c>
      <c r="G9" s="10"/>
      <c r="H9" s="42" t="s">
        <v>14</v>
      </c>
      <c r="I9" s="43">
        <f>SUM(I6:I8)</f>
        <v>0</v>
      </c>
      <c r="J9" s="28"/>
    </row>
    <row r="10" spans="2:10" ht="15">
      <c r="B10" s="87" t="s">
        <v>19</v>
      </c>
      <c r="C10" s="72">
        <f>Entertainment[[#Totals],[Budgeted
cost]]</f>
        <v>0</v>
      </c>
      <c r="D10" s="72">
        <f>Entertainment[[#Totals],[Actual
cost]]</f>
        <v>0</v>
      </c>
      <c r="E10" s="88">
        <f>'March - Overview'!$C10-'March - Overview'!$D10</f>
        <v>0</v>
      </c>
      <c r="G10" s="10"/>
      <c r="H10" s="31"/>
      <c r="I10" s="31"/>
      <c r="J10" s="28"/>
    </row>
    <row r="11" spans="2:10" ht="24.6">
      <c r="B11" s="85" t="s">
        <v>20</v>
      </c>
      <c r="C11" s="94">
        <f>Food[[#Totals],[Budgeted
cost]]</f>
        <v>0</v>
      </c>
      <c r="D11" s="94">
        <f>Food[[#Totals],[Actual
cost]]</f>
        <v>0</v>
      </c>
      <c r="E11" s="95">
        <f>'March - Overview'!$C11-'March - Overview'!$D11</f>
        <v>0</v>
      </c>
      <c r="G11" s="10"/>
      <c r="H11" s="116" t="s">
        <v>34</v>
      </c>
      <c r="I11" s="117"/>
      <c r="J11" s="31"/>
    </row>
    <row r="12" spans="2:10" ht="15">
      <c r="B12" s="87" t="s">
        <v>21</v>
      </c>
      <c r="C12" s="96">
        <f>Taxes[[#Totals],[Budgeted 
cost]]</f>
        <v>0</v>
      </c>
      <c r="D12" s="96">
        <f>Taxes[[#Totals],[Actual 
cost]]</f>
        <v>0</v>
      </c>
      <c r="E12" s="97">
        <f>'March - Overview'!$C12-'March - Overview'!$D12</f>
        <v>0</v>
      </c>
      <c r="G12" s="10"/>
      <c r="H12" s="41" t="s">
        <v>6</v>
      </c>
      <c r="I12" s="44"/>
      <c r="J12" s="30"/>
    </row>
    <row r="13" spans="2:10" ht="15">
      <c r="B13" s="85" t="s">
        <v>22</v>
      </c>
      <c r="C13" s="98">
        <f>Children[[#Totals],[Budgeted
cost]]</f>
        <v>0</v>
      </c>
      <c r="D13" s="98">
        <f>Children[[#Totals],[Actual
cost]]</f>
        <v>0</v>
      </c>
      <c r="E13" s="99">
        <f>'March - Overview'!$C13-'March - Overview'!$D13</f>
        <v>0</v>
      </c>
      <c r="G13" s="10"/>
      <c r="H13" s="69" t="s">
        <v>7</v>
      </c>
      <c r="I13" s="70"/>
      <c r="J13" s="28"/>
    </row>
    <row r="14" spans="2:10" ht="15">
      <c r="B14" s="87" t="s">
        <v>23</v>
      </c>
      <c r="C14" s="100">
        <f>PersonalCare[[#Totals],[Budgeted
cost]]</f>
        <v>0</v>
      </c>
      <c r="D14" s="100">
        <f>PersonalCare[[#Totals],[Actual
cost]]</f>
        <v>0</v>
      </c>
      <c r="E14" s="101">
        <f>'March - Overview'!$C14-'March - Overview'!$D14</f>
        <v>0</v>
      </c>
      <c r="G14" s="10"/>
      <c r="H14" s="41" t="s">
        <v>12</v>
      </c>
      <c r="I14" s="44"/>
      <c r="J14" s="28"/>
    </row>
    <row r="15" spans="2:10" ht="17.45">
      <c r="B15" s="85" t="s">
        <v>25</v>
      </c>
      <c r="C15" s="94">
        <f>Legal[[#Totals],[Budgeted
cost]]</f>
        <v>0</v>
      </c>
      <c r="D15" s="94">
        <f>Legal[[#Totals],[Actual
cost]]</f>
        <v>0</v>
      </c>
      <c r="E15" s="95">
        <f>'March - Overview'!$C15-'March - Overview'!$D15</f>
        <v>0</v>
      </c>
      <c r="G15" s="10"/>
      <c r="H15" s="46" t="s">
        <v>14</v>
      </c>
      <c r="I15" s="47">
        <f>SUM(I12:I14)</f>
        <v>0</v>
      </c>
      <c r="J15" s="28"/>
    </row>
    <row r="16" spans="2:10" ht="15">
      <c r="B16" s="87" t="s">
        <v>27</v>
      </c>
      <c r="C16" s="96">
        <f>Pets[[#Totals],[Budgeted
cost]]</f>
        <v>0</v>
      </c>
      <c r="D16" s="96">
        <f>Pets[[#Totals],[Actual
cost]]</f>
        <v>0</v>
      </c>
      <c r="E16" s="97">
        <f>'March - Overview'!$C16-'March - Overview'!$D16</f>
        <v>0</v>
      </c>
      <c r="G16" s="10"/>
      <c r="H16" s="31"/>
      <c r="I16" s="31"/>
      <c r="J16" s="28"/>
    </row>
    <row r="17" spans="2:10" ht="24.6">
      <c r="B17" s="85" t="s">
        <v>29</v>
      </c>
      <c r="C17" s="73">
        <f>Savings[[#Totals],[Budgeted
cost]]</f>
        <v>0</v>
      </c>
      <c r="D17" s="73">
        <f>Savings[[#Totals],[Actual
cost]]</f>
        <v>0</v>
      </c>
      <c r="E17" s="86">
        <f>'March - Overview'!$C17-'March - Overview'!$D17</f>
        <v>0</v>
      </c>
      <c r="F17" s="10"/>
      <c r="G17" s="8"/>
      <c r="H17" s="118" t="s">
        <v>24</v>
      </c>
      <c r="I17" s="119"/>
      <c r="J17" s="29"/>
    </row>
    <row r="18" spans="2:10" ht="15.6" thickBot="1">
      <c r="B18" s="87" t="s">
        <v>30</v>
      </c>
      <c r="C18" s="72">
        <f>Gifts[[#Totals],[Budgeted
cost]]</f>
        <v>0</v>
      </c>
      <c r="D18" s="72">
        <f>Gifts[[#Totals],[Actual
cost]]</f>
        <v>0</v>
      </c>
      <c r="E18" s="88">
        <f>'March - Overview'!$C18-'March - Overview'!$D18</f>
        <v>0</v>
      </c>
      <c r="F18" s="34"/>
      <c r="G18" s="35"/>
      <c r="H18" s="48" t="s">
        <v>35</v>
      </c>
      <c r="I18" s="49">
        <f>SUM(I9-'March - Overview'!$C$3:$C$3)</f>
        <v>0</v>
      </c>
      <c r="J18" s="29"/>
    </row>
    <row r="19" spans="2:10" s="32" customFormat="1" ht="25.15" thickTop="1">
      <c r="B19" s="91" t="s">
        <v>31</v>
      </c>
      <c r="C19" s="92">
        <f>SUBTOTAL(109,'March - Overview'!$C$6:$C$18)</f>
        <v>0</v>
      </c>
      <c r="D19" s="92">
        <f>SUBTOTAL(109,'March - Overview'!$D$6:$D$18)</f>
        <v>0</v>
      </c>
      <c r="E19" s="93">
        <f>SUBTOTAL(109,'March - Overview'!$E$6:$E$18)</f>
        <v>0</v>
      </c>
      <c r="H19" s="67" t="s">
        <v>36</v>
      </c>
      <c r="I19" s="68">
        <f>SUM(I15-D3)</f>
        <v>0</v>
      </c>
    </row>
    <row r="20" spans="2:10" ht="17.45">
      <c r="H20" s="52" t="s">
        <v>11</v>
      </c>
      <c r="I20" s="53">
        <f>SUM(I19-I18)</f>
        <v>0</v>
      </c>
    </row>
    <row r="21" spans="2:10" ht="30" customHeight="1">
      <c r="H21" s="8"/>
      <c r="I21" s="9"/>
    </row>
    <row r="22" spans="2:10" ht="30" customHeight="1">
      <c r="I22"/>
    </row>
    <row r="23" spans="2:10" ht="30" customHeight="1">
      <c r="I23"/>
    </row>
    <row r="24" spans="2:10" ht="30" customHeight="1">
      <c r="I24"/>
    </row>
    <row r="25" spans="2:10" ht="30" customHeight="1">
      <c r="I25"/>
    </row>
    <row r="26" spans="2:10" ht="30" customHeight="1">
      <c r="I26"/>
    </row>
    <row r="27" spans="2:10" ht="37.9" customHeight="1">
      <c r="I27"/>
    </row>
    <row r="28" spans="2:10" ht="30" customHeight="1">
      <c r="I28"/>
    </row>
    <row r="29" spans="2:10" ht="48" customHeight="1">
      <c r="I29"/>
    </row>
    <row r="30" spans="2:10" ht="30" customHeight="1">
      <c r="I30"/>
    </row>
    <row r="31" spans="2:10" ht="30" customHeight="1">
      <c r="I31"/>
    </row>
    <row r="32" spans="2:10" ht="30" customHeight="1">
      <c r="I32"/>
    </row>
    <row r="33" spans="9:9" ht="30" customHeight="1">
      <c r="I33"/>
    </row>
    <row r="34" spans="9:9" ht="30" customHeight="1">
      <c r="I34"/>
    </row>
    <row r="35" spans="9:9" ht="30" customHeight="1">
      <c r="I35"/>
    </row>
    <row r="36" spans="9:9" ht="30" customHeight="1">
      <c r="I36"/>
    </row>
    <row r="37" spans="9:9" ht="30" customHeight="1">
      <c r="I37"/>
    </row>
    <row r="38" spans="9:9" ht="30" customHeight="1">
      <c r="I38"/>
    </row>
    <row r="39" spans="9:9" ht="30" customHeight="1">
      <c r="I39"/>
    </row>
    <row r="40" spans="9:9" ht="37.9" customHeight="1">
      <c r="I40"/>
    </row>
    <row r="41" spans="9:9" ht="30" customHeight="1">
      <c r="I41"/>
    </row>
    <row r="42" spans="9:9" ht="48" customHeight="1">
      <c r="I42"/>
    </row>
    <row r="43" spans="9:9" ht="30" customHeight="1">
      <c r="I43"/>
    </row>
    <row r="44" spans="9:9" ht="30" customHeight="1">
      <c r="I44"/>
    </row>
    <row r="45" spans="9:9" ht="30" customHeight="1">
      <c r="I45"/>
    </row>
    <row r="46" spans="9:9" ht="30" customHeight="1">
      <c r="I46"/>
    </row>
    <row r="47" spans="9:9" ht="30" customHeight="1">
      <c r="I47"/>
    </row>
    <row r="48" spans="9:9" ht="30" customHeight="1">
      <c r="I48"/>
    </row>
    <row r="49" spans="9:9" ht="37.9" customHeight="1">
      <c r="I49"/>
    </row>
    <row r="50" spans="9:9" ht="30" customHeight="1">
      <c r="I50"/>
    </row>
    <row r="51" spans="9:9" ht="48" customHeight="1">
      <c r="I51"/>
    </row>
    <row r="52" spans="9:9" ht="30" customHeight="1">
      <c r="I52"/>
    </row>
    <row r="53" spans="9:9" ht="30" customHeight="1">
      <c r="I53"/>
    </row>
    <row r="54" spans="9:9" ht="30" customHeight="1">
      <c r="I54"/>
    </row>
    <row r="55" spans="9:9" ht="30" customHeight="1">
      <c r="I55"/>
    </row>
    <row r="56" spans="9:9" ht="30" customHeight="1">
      <c r="I56"/>
    </row>
    <row r="57" spans="9:9" ht="30" customHeight="1">
      <c r="I57"/>
    </row>
    <row r="58" spans="9:9" ht="30" customHeight="1">
      <c r="I58"/>
    </row>
    <row r="59" spans="9:9" ht="30" customHeight="1">
      <c r="I59"/>
    </row>
    <row r="60" spans="9:9" ht="30" customHeight="1">
      <c r="I60"/>
    </row>
    <row r="61" spans="9:9" ht="30" customHeight="1">
      <c r="I61"/>
    </row>
  </sheetData>
  <mergeCells count="4">
    <mergeCell ref="B1:H1"/>
    <mergeCell ref="H5:I5"/>
    <mergeCell ref="H11:I11"/>
    <mergeCell ref="H17:I17"/>
  </mergeCells>
  <conditionalFormatting sqref="B1 I1:J4 B2:F2 B3 E3:F3 F4 H5:H6 G5:G16 J5:J18 I6 H7:I10 H11 H12:I15 H16:H17 F17:G18 H18:I21">
    <cfRule type="cellIs" dxfId="1099" priority="5" operator="lessThan">
      <formula>0</formula>
    </cfRule>
  </conditionalFormatting>
  <conditionalFormatting sqref="B6:E19">
    <cfRule type="cellIs" dxfId="1098" priority="1" operator="lessThan">
      <formula>0</formula>
    </cfRule>
  </conditionalFormatting>
  <conditionalFormatting sqref="C3:D3">
    <cfRule type="cellIs" dxfId="1097" priority="4" operator="lessThan">
      <formula>0</formula>
    </cfRule>
  </conditionalFormatting>
  <conditionalFormatting sqref="E3">
    <cfRule type="iconSet" priority="3">
      <iconSet iconSet="3Arrows">
        <cfvo type="percentile" val="0"/>
        <cfvo type="num" val="-50"/>
        <cfvo type="num" val="50"/>
      </iconSet>
    </cfRule>
  </conditionalFormatting>
  <conditionalFormatting sqref="E6:E18">
    <cfRule type="iconSet" priority="2">
      <iconSet iconSet="3Arrows">
        <cfvo type="percentile" val="0"/>
        <cfvo type="num" val="-50"/>
        <cfvo type="num" val="50"/>
      </iconSet>
    </cfRule>
  </conditionalFormatting>
  <conditionalFormatting sqref="I20:I21">
    <cfRule type="iconSet" priority="6">
      <iconSet iconSet="3Arrows">
        <cfvo type="percentile" val="0"/>
        <cfvo type="num" val="-50"/>
        <cfvo type="num" val="50"/>
      </iconSet>
    </cfRule>
  </conditionalFormatting>
  <dataValidations count="11">
    <dataValidation allowBlank="1" showInputMessage="1" showErrorMessage="1" prompt="Total Projected, Actual, and Difference is auto calculated in this table" sqref="B2" xr:uid="{FC16435F-8C3A-4D73-B009-4929C4C0C343}"/>
    <dataValidation allowBlank="1" showInputMessage="1" showErrorMessage="1" prompt="Balance is in this column under this heading" sqref="H17" xr:uid="{72DB0B3B-B148-4FE4-BBD3-7EF9364F932F}"/>
    <dataValidation allowBlank="1" showInputMessage="1" showErrorMessage="1" prompt="Balance table below is auto updated" sqref="H16" xr:uid="{27BAECC9-36F2-4ADC-9DEB-432BFD98D9FF}"/>
    <dataValidation allowBlank="1" showInputMessage="1" showErrorMessage="1" prompt="Enter Actual Monthly Income Source in this column under this heading" sqref="H11" xr:uid="{040FB412-EA6B-4B32-BDEB-E5286101D412}"/>
    <dataValidation allowBlank="1" showInputMessage="1" showErrorMessage="1" prompt="Enter details in Actual Monthly Income table below" sqref="H10" xr:uid="{A31C8A11-24A6-48D9-B392-407240F0FE4B}"/>
    <dataValidation allowBlank="1" showInputMessage="1" showErrorMessage="1" prompt="Enter Projected Monthly Income Source in this column under this heading" sqref="H5" xr:uid="{8E70112E-B853-4B51-9A8C-4760577074CD}"/>
    <dataValidation allowBlank="1" showInputMessage="1" showErrorMessage="1" prompt="Total Difference is auto calculated in cell below" sqref="E2" xr:uid="{2C4DDF32-7859-459F-A42C-F0EA2297AF4A}"/>
    <dataValidation allowBlank="1" showInputMessage="1" showErrorMessage="1" prompt="Total Actual Cost is auto calculated in cell below" sqref="D2" xr:uid="{CB9C7039-8B77-4CF1-B5CF-2C7E550B488F}"/>
    <dataValidation allowBlank="1" showInputMessage="1" showErrorMessage="1" prompt="Total Projected Cost is auto calculated in cell below" sqref="C2" xr:uid="{6A6C5F96-9359-4E11-9046-07475B975958}"/>
    <dataValidation allowBlank="1" showInputMessage="1" showErrorMessage="1" prompt="Title of this worksheet is in this cell. Summary is in table below. Sample expense categories are in separate tables starting in B5. Enter income amounts starting in cell G2" sqref="B1" xr:uid="{756359D5-ECE5-45A6-85EB-16922ADE772F}"/>
    <dataValidation allowBlank="1" showInputMessage="1" showErrorMessage="1" prompt="Create a Family Budget Planner in this worksheet. Enter details in tables. Total Projected and Actual Costs, Projected and Actual Balance, and Difference are auto calculated" sqref="A1" xr:uid="{1445E78D-B14F-4014-8C78-E686AB91FE32}"/>
  </dataValidations>
  <printOptions horizontalCentered="1"/>
  <pageMargins left="0.23622047244094491" right="0.23622047244094491" top="0.51181102362204722" bottom="0.51181102362204722" header="0.51181102362204722" footer="0.51181102362204722"/>
  <pageSetup scale="60" orientation="landscape" r:id="rId1"/>
  <headerFooter alignWithMargins="0"/>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A35DC-F961-4306-84C4-F8836E06E93E}">
  <sheetPr>
    <tabColor theme="2" tint="-9.9978637043366805E-2"/>
  </sheetPr>
  <dimension ref="B1:L74"/>
  <sheetViews>
    <sheetView zoomScale="70" zoomScaleNormal="70" workbookViewId="0">
      <selection activeCell="I36" sqref="I36"/>
    </sheetView>
  </sheetViews>
  <sheetFormatPr defaultColWidth="9" defaultRowHeight="13.9"/>
  <cols>
    <col min="1" max="1" width="2.375" style="12" customWidth="1"/>
    <col min="2" max="2" width="29.75" style="12" bestFit="1" customWidth="1"/>
    <col min="3" max="3" width="13.5" style="12" bestFit="1" customWidth="1"/>
    <col min="4" max="4" width="10.25" style="12" bestFit="1" customWidth="1"/>
    <col min="5" max="5" width="14.875" style="66" bestFit="1" customWidth="1"/>
    <col min="6" max="6" width="14.25" style="12" bestFit="1" customWidth="1"/>
    <col min="7" max="7" width="5.5" style="12" customWidth="1"/>
    <col min="8" max="8" width="28.125" style="12" bestFit="1" customWidth="1"/>
    <col min="9" max="9" width="13.5" style="12" bestFit="1" customWidth="1"/>
    <col min="10" max="10" width="10.25" style="12" bestFit="1" customWidth="1"/>
    <col min="11" max="11" width="12.875" style="12" bestFit="1" customWidth="1"/>
    <col min="12" max="12" width="14.25" style="12" bestFit="1" customWidth="1"/>
    <col min="13" max="16384" width="9" style="12"/>
  </cols>
  <sheetData>
    <row r="1" spans="2:12" ht="15" customHeight="1">
      <c r="B1" s="56"/>
      <c r="C1" s="56"/>
      <c r="D1" s="56"/>
      <c r="E1" s="74"/>
      <c r="F1" s="75"/>
      <c r="G1" s="56"/>
      <c r="H1" s="56"/>
      <c r="I1" s="56"/>
      <c r="J1" s="56"/>
    </row>
    <row r="2" spans="2:12" ht="15" customHeight="1">
      <c r="B2" s="22" t="s">
        <v>13</v>
      </c>
      <c r="C2" s="21" t="s">
        <v>9</v>
      </c>
      <c r="D2" s="21" t="s">
        <v>10</v>
      </c>
      <c r="E2" s="57" t="s">
        <v>37</v>
      </c>
      <c r="F2" s="21" t="s">
        <v>11</v>
      </c>
      <c r="G2" s="56"/>
      <c r="H2" s="22" t="s">
        <v>29</v>
      </c>
      <c r="I2" s="21" t="s">
        <v>9</v>
      </c>
      <c r="J2" s="21" t="s">
        <v>10</v>
      </c>
      <c r="K2" s="63" t="s">
        <v>37</v>
      </c>
      <c r="L2" s="21" t="s">
        <v>11</v>
      </c>
    </row>
    <row r="3" spans="2:12" ht="15" customHeight="1">
      <c r="B3" s="18" t="s">
        <v>38</v>
      </c>
      <c r="C3" s="17"/>
      <c r="D3" s="17"/>
      <c r="E3" s="58"/>
      <c r="F3" s="17">
        <f>Housing102115[[#This Row],[Budgeted
cost]]-Housing102115[[#This Row],[Actual
cost]]</f>
        <v>0</v>
      </c>
      <c r="G3" s="56"/>
      <c r="H3" s="18" t="s">
        <v>39</v>
      </c>
      <c r="I3" s="17"/>
      <c r="J3" s="17"/>
      <c r="K3" s="58"/>
      <c r="L3" s="17">
        <f>Savings92105[[#This Row],[Budgeted
cost]]-Savings92105[[#This Row],[Actual
cost]]</f>
        <v>0</v>
      </c>
    </row>
    <row r="4" spans="2:12" ht="15" customHeight="1">
      <c r="B4" s="18" t="s">
        <v>40</v>
      </c>
      <c r="C4" s="17"/>
      <c r="D4" s="17"/>
      <c r="E4" s="58"/>
      <c r="F4" s="17">
        <f>Housing102115[[#This Row],[Budgeted
cost]]-Housing102115[[#This Row],[Actual
cost]]</f>
        <v>0</v>
      </c>
      <c r="G4" s="56"/>
      <c r="H4" s="18" t="s">
        <v>41</v>
      </c>
      <c r="I4" s="17"/>
      <c r="J4" s="17"/>
      <c r="K4" s="58"/>
      <c r="L4" s="17">
        <f>Savings92105[[#This Row],[Budgeted
cost]]-Savings92105[[#This Row],[Actual
cost]]</f>
        <v>0</v>
      </c>
    </row>
    <row r="5" spans="2:12" ht="15" customHeight="1">
      <c r="B5" s="18" t="s">
        <v>42</v>
      </c>
      <c r="C5" s="17"/>
      <c r="D5" s="17"/>
      <c r="E5" s="58"/>
      <c r="F5" s="17">
        <f>Housing102115[[#This Row],[Budgeted
cost]]-Housing102115[[#This Row],[Actual
cost]]</f>
        <v>0</v>
      </c>
      <c r="G5" s="56"/>
      <c r="H5" s="18" t="s">
        <v>43</v>
      </c>
      <c r="I5" s="17"/>
      <c r="J5" s="17"/>
      <c r="K5" s="58"/>
      <c r="L5" s="17">
        <f>Savings92105[[#This Row],[Budgeted
cost]]-Savings92105[[#This Row],[Actual
cost]]</f>
        <v>0</v>
      </c>
    </row>
    <row r="6" spans="2:12" ht="15" customHeight="1">
      <c r="B6" s="18" t="s">
        <v>44</v>
      </c>
      <c r="C6" s="17"/>
      <c r="D6" s="17"/>
      <c r="E6" s="58"/>
      <c r="F6" s="17">
        <f>Housing102115[[#This Row],[Budgeted
cost]]-Housing102115[[#This Row],[Actual
cost]]</f>
        <v>0</v>
      </c>
      <c r="G6" s="56"/>
      <c r="H6" s="18" t="s">
        <v>45</v>
      </c>
      <c r="I6" s="17"/>
      <c r="J6" s="17"/>
      <c r="K6" s="58"/>
      <c r="L6" s="17">
        <f>Savings92105[[#This Row],[Budgeted
cost]]-Savings92105[[#This Row],[Actual
cost]]</f>
        <v>0</v>
      </c>
    </row>
    <row r="7" spans="2:12" ht="15" customHeight="1">
      <c r="B7" s="18" t="s">
        <v>46</v>
      </c>
      <c r="C7" s="17"/>
      <c r="D7" s="17"/>
      <c r="E7" s="58"/>
      <c r="F7" s="17">
        <f>Housing102115[[#This Row],[Budgeted
cost]]-Housing102115[[#This Row],[Actual
cost]]</f>
        <v>0</v>
      </c>
      <c r="G7" s="56"/>
      <c r="H7" s="18" t="s">
        <v>47</v>
      </c>
      <c r="I7" s="17"/>
      <c r="J7" s="17"/>
      <c r="K7" s="58"/>
      <c r="L7" s="17">
        <f>Savings92105[[#This Row],[Budgeted
cost]]-Savings92105[[#This Row],[Actual
cost]]</f>
        <v>0</v>
      </c>
    </row>
    <row r="8" spans="2:12" ht="15" customHeight="1">
      <c r="B8" s="18" t="s">
        <v>48</v>
      </c>
      <c r="C8" s="17"/>
      <c r="D8" s="17"/>
      <c r="E8" s="58"/>
      <c r="F8" s="17">
        <f>Housing102115[[#This Row],[Budgeted
cost]]-Housing102115[[#This Row],[Actual
cost]]</f>
        <v>0</v>
      </c>
      <c r="G8" s="56"/>
      <c r="H8" s="18" t="s">
        <v>49</v>
      </c>
      <c r="I8" s="17"/>
      <c r="J8" s="17"/>
      <c r="K8" s="58"/>
      <c r="L8" s="17">
        <f>Savings92105[[#This Row],[Budgeted
cost]]-Savings92105[[#This Row],[Actual
cost]]</f>
        <v>0</v>
      </c>
    </row>
    <row r="9" spans="2:12" ht="15" customHeight="1">
      <c r="B9" s="18" t="s">
        <v>50</v>
      </c>
      <c r="C9" s="17"/>
      <c r="D9" s="17"/>
      <c r="E9" s="58"/>
      <c r="F9" s="17">
        <f>Housing102115[[#This Row],[Budgeted
cost]]-Housing102115[[#This Row],[Actual
cost]]</f>
        <v>0</v>
      </c>
      <c r="G9" s="56"/>
      <c r="H9" s="18" t="s">
        <v>49</v>
      </c>
      <c r="I9" s="17"/>
      <c r="J9" s="17"/>
      <c r="K9" s="58"/>
      <c r="L9" s="17">
        <f>Savings92105[[#This Row],[Budgeted
cost]]-Savings92105[[#This Row],[Actual
cost]]</f>
        <v>0</v>
      </c>
    </row>
    <row r="10" spans="2:12" ht="15" customHeight="1">
      <c r="B10" s="18" t="s">
        <v>51</v>
      </c>
      <c r="C10" s="17"/>
      <c r="D10" s="17"/>
      <c r="E10" s="58"/>
      <c r="F10" s="17">
        <f>Housing102115[[#This Row],[Budgeted
cost]]-Housing102115[[#This Row],[Actual
cost]]</f>
        <v>0</v>
      </c>
      <c r="G10" s="56"/>
      <c r="H10" s="18" t="s">
        <v>31</v>
      </c>
      <c r="I10" s="19">
        <f>SUBTOTAL(109,Savings92105[Budgeted
cost])</f>
        <v>0</v>
      </c>
      <c r="J10" s="19">
        <f>SUBTOTAL(109,Savings92105[Actual
cost])</f>
        <v>0</v>
      </c>
      <c r="K10" s="61"/>
      <c r="L10" s="19">
        <f>SUBTOTAL(109,Savings92105[Difference])</f>
        <v>0</v>
      </c>
    </row>
    <row r="11" spans="2:12" ht="15" customHeight="1">
      <c r="B11" s="18" t="s">
        <v>52</v>
      </c>
      <c r="C11" s="17"/>
      <c r="D11" s="17"/>
      <c r="E11" s="58"/>
      <c r="F11" s="17">
        <f>Housing102115[[#This Row],[Budgeted
cost]]-Housing102115[[#This Row],[Actual
cost]]</f>
        <v>0</v>
      </c>
      <c r="G11" s="56"/>
      <c r="H11" s="56"/>
      <c r="I11" s="56"/>
      <c r="J11" s="56"/>
    </row>
    <row r="12" spans="2:12" ht="15" customHeight="1">
      <c r="B12" s="18" t="s">
        <v>49</v>
      </c>
      <c r="C12" s="17"/>
      <c r="D12" s="17"/>
      <c r="E12" s="58"/>
      <c r="F12" s="17">
        <f>Housing102115[[#This Row],[Budgeted
cost]]-Housing102115[[#This Row],[Actual
cost]]</f>
        <v>0</v>
      </c>
      <c r="G12" s="56"/>
    </row>
    <row r="13" spans="2:12" ht="15" customHeight="1">
      <c r="B13" s="18" t="s">
        <v>31</v>
      </c>
      <c r="C13" s="19">
        <f>SUBTOTAL(109,Housing102115[Budgeted
cost])</f>
        <v>0</v>
      </c>
      <c r="D13" s="19">
        <f>SUBTOTAL(109,Housing102115[Actual
cost])</f>
        <v>0</v>
      </c>
      <c r="E13"/>
      <c r="F13" s="19">
        <f>SUBTOTAL(109,Housing102115[Difference])</f>
        <v>0</v>
      </c>
      <c r="G13" s="56"/>
    </row>
    <row r="14" spans="2:12" ht="15" customHeight="1">
      <c r="B14" s="56"/>
      <c r="C14" s="56"/>
      <c r="D14" s="56"/>
      <c r="E14" s="74"/>
      <c r="F14" s="75"/>
      <c r="G14" s="56"/>
    </row>
    <row r="15" spans="2:12" ht="27.6">
      <c r="B15" s="22" t="s">
        <v>15</v>
      </c>
      <c r="C15" s="21" t="s">
        <v>9</v>
      </c>
      <c r="D15" s="21" t="s">
        <v>10</v>
      </c>
      <c r="E15" s="60" t="s">
        <v>37</v>
      </c>
      <c r="F15" s="21" t="s">
        <v>11</v>
      </c>
      <c r="G15" s="13"/>
      <c r="H15" s="22" t="s">
        <v>23</v>
      </c>
      <c r="I15" s="21" t="s">
        <v>9</v>
      </c>
      <c r="J15" s="23" t="s">
        <v>10</v>
      </c>
      <c r="K15" s="63" t="s">
        <v>37</v>
      </c>
      <c r="L15" s="21" t="s">
        <v>11</v>
      </c>
    </row>
    <row r="16" spans="2:12">
      <c r="B16" s="18" t="s">
        <v>53</v>
      </c>
      <c r="C16" s="17"/>
      <c r="D16" s="17"/>
      <c r="E16" s="58"/>
      <c r="F16" s="17">
        <f>Transportation101114[[#This Row],[Budgeted
cost]]-Transportation101114[[#This Row],[Actual
cost]]</f>
        <v>0</v>
      </c>
      <c r="G16" s="13"/>
      <c r="H16" s="18" t="s">
        <v>54</v>
      </c>
      <c r="I16" s="17"/>
      <c r="J16" s="17"/>
      <c r="K16" s="58"/>
      <c r="L16" s="17">
        <f>PersonalCare96109[[#This Row],[Budgeted
cost]]-PersonalCare96109[[#This Row],[Actual
cost]]</f>
        <v>0</v>
      </c>
    </row>
    <row r="17" spans="2:12">
      <c r="B17" s="18" t="s">
        <v>55</v>
      </c>
      <c r="C17" s="17"/>
      <c r="D17" s="17"/>
      <c r="E17" s="58"/>
      <c r="F17" s="17">
        <f>Transportation101114[[#This Row],[Budgeted
cost]]-Transportation101114[[#This Row],[Actual
cost]]</f>
        <v>0</v>
      </c>
      <c r="G17" s="13"/>
      <c r="H17" s="18" t="s">
        <v>56</v>
      </c>
      <c r="I17" s="17"/>
      <c r="J17" s="17"/>
      <c r="K17" s="58"/>
      <c r="L17" s="17">
        <f>PersonalCare96109[[#This Row],[Budgeted
cost]]-PersonalCare96109[[#This Row],[Actual
cost]]</f>
        <v>0</v>
      </c>
    </row>
    <row r="18" spans="2:12">
      <c r="B18" s="18" t="s">
        <v>57</v>
      </c>
      <c r="C18" s="17"/>
      <c r="D18" s="17"/>
      <c r="E18" s="58"/>
      <c r="F18" s="17">
        <f>Transportation101114[[#This Row],[Budgeted
cost]]-Transportation101114[[#This Row],[Actual
cost]]</f>
        <v>0</v>
      </c>
      <c r="G18" s="13"/>
      <c r="H18" s="18" t="s">
        <v>58</v>
      </c>
      <c r="I18" s="17"/>
      <c r="J18" s="17"/>
      <c r="K18" s="58"/>
      <c r="L18" s="17">
        <f>PersonalCare96109[[#This Row],[Budgeted
cost]]-PersonalCare96109[[#This Row],[Actual
cost]]</f>
        <v>0</v>
      </c>
    </row>
    <row r="19" spans="2:12">
      <c r="B19" s="18" t="s">
        <v>18</v>
      </c>
      <c r="C19" s="17"/>
      <c r="D19" s="17"/>
      <c r="E19" s="58"/>
      <c r="F19" s="17">
        <f>Transportation101114[[#This Row],[Budgeted
cost]]-Transportation101114[[#This Row],[Actual
cost]]</f>
        <v>0</v>
      </c>
      <c r="G19" s="13"/>
      <c r="H19" s="18" t="s">
        <v>59</v>
      </c>
      <c r="I19" s="17"/>
      <c r="J19" s="17"/>
      <c r="K19" s="58"/>
      <c r="L19" s="17">
        <f>PersonalCare96109[[#This Row],[Budgeted
cost]]-PersonalCare96109[[#This Row],[Actual
cost]]</f>
        <v>0</v>
      </c>
    </row>
    <row r="20" spans="2:12">
      <c r="B20" s="18" t="s">
        <v>60</v>
      </c>
      <c r="C20" s="17"/>
      <c r="D20" s="17"/>
      <c r="E20" s="58"/>
      <c r="F20" s="17">
        <f>Transportation101114[[#This Row],[Budgeted
cost]]-Transportation101114[[#This Row],[Actual
cost]]</f>
        <v>0</v>
      </c>
      <c r="G20" s="13"/>
      <c r="H20" s="18" t="s">
        <v>61</v>
      </c>
      <c r="I20" s="17"/>
      <c r="J20" s="17"/>
      <c r="K20" s="58"/>
      <c r="L20" s="17">
        <f>PersonalCare96109[[#This Row],[Budgeted
cost]]-PersonalCare96109[[#This Row],[Actual
cost]]</f>
        <v>0</v>
      </c>
    </row>
    <row r="21" spans="2:12">
      <c r="B21" s="18" t="s">
        <v>62</v>
      </c>
      <c r="C21" s="17"/>
      <c r="D21" s="17"/>
      <c r="E21" s="58"/>
      <c r="F21" s="17">
        <f>Transportation101114[[#This Row],[Budgeted
cost]]-Transportation101114[[#This Row],[Actual
cost]]</f>
        <v>0</v>
      </c>
      <c r="G21" s="13"/>
      <c r="H21" s="18" t="s">
        <v>63</v>
      </c>
      <c r="I21" s="17"/>
      <c r="J21" s="17"/>
      <c r="K21" s="58"/>
      <c r="L21" s="17">
        <f>PersonalCare96109[[#This Row],[Budgeted
cost]]-PersonalCare96109[[#This Row],[Actual
cost]]</f>
        <v>0</v>
      </c>
    </row>
    <row r="22" spans="2:12">
      <c r="B22" s="18" t="s">
        <v>64</v>
      </c>
      <c r="C22" s="17"/>
      <c r="D22" s="17"/>
      <c r="E22" s="58"/>
      <c r="F22" s="17">
        <f>Transportation101114[[#This Row],[Budgeted
cost]]-Transportation101114[[#This Row],[Actual
cost]]</f>
        <v>0</v>
      </c>
      <c r="G22" s="13"/>
      <c r="H22" s="18" t="s">
        <v>49</v>
      </c>
      <c r="I22" s="17"/>
      <c r="J22" s="17"/>
      <c r="K22" s="58"/>
      <c r="L22" s="17">
        <f>PersonalCare96109[[#This Row],[Budgeted
cost]]-PersonalCare96109[[#This Row],[Actual
cost]]</f>
        <v>0</v>
      </c>
    </row>
    <row r="23" spans="2:12">
      <c r="B23" s="18" t="s">
        <v>49</v>
      </c>
      <c r="C23" s="17"/>
      <c r="D23" s="17"/>
      <c r="E23" s="58"/>
      <c r="F23" s="17">
        <f>Transportation101114[[#This Row],[Budgeted
cost]]-Transportation101114[[#This Row],[Actual
cost]]</f>
        <v>0</v>
      </c>
      <c r="G23" s="13"/>
      <c r="H23" s="18" t="s">
        <v>49</v>
      </c>
      <c r="I23" s="17"/>
      <c r="J23" s="17"/>
      <c r="K23" s="58"/>
      <c r="L23" s="17">
        <f>PersonalCare96109[[#This Row],[Budgeted
cost]]-PersonalCare96109[[#This Row],[Actual
cost]]</f>
        <v>0</v>
      </c>
    </row>
    <row r="24" spans="2:12">
      <c r="B24" s="18" t="s">
        <v>49</v>
      </c>
      <c r="C24" s="17"/>
      <c r="D24" s="17"/>
      <c r="E24" s="58"/>
      <c r="F24" s="17">
        <f>Transportation101114[[#This Row],[Budgeted
cost]]-Transportation101114[[#This Row],[Actual
cost]]</f>
        <v>0</v>
      </c>
      <c r="G24" s="13"/>
      <c r="H24" s="18" t="s">
        <v>31</v>
      </c>
      <c r="I24" s="19">
        <f>SUBTOTAL(109,PersonalCare96109[Budgeted
cost])</f>
        <v>0</v>
      </c>
      <c r="J24" s="19">
        <f>SUBTOTAL(109,PersonalCare96109[Actual
cost])</f>
        <v>0</v>
      </c>
      <c r="K24" s="61"/>
      <c r="L24" s="19">
        <f>SUBTOTAL(109,PersonalCare96109[Difference])</f>
        <v>0</v>
      </c>
    </row>
    <row r="25" spans="2:12">
      <c r="B25" s="18" t="s">
        <v>31</v>
      </c>
      <c r="C25" s="19">
        <f>SUBTOTAL(109,Transportation101114[Budgeted
cost])</f>
        <v>0</v>
      </c>
      <c r="D25" s="19">
        <f>SUBTOTAL(109,Transportation101114[Actual
cost])</f>
        <v>0</v>
      </c>
      <c r="E25" s="61"/>
      <c r="F25" s="19">
        <f>SUBTOTAL(109,Transportation101114[Difference])</f>
        <v>0</v>
      </c>
      <c r="G25" s="13"/>
    </row>
    <row r="26" spans="2:12" ht="17.45">
      <c r="B26" s="7"/>
      <c r="C26" s="6"/>
      <c r="D26" s="6"/>
      <c r="E26" s="62"/>
      <c r="F26" s="13"/>
    </row>
    <row r="27" spans="2:12" ht="27.6">
      <c r="B27" s="22" t="s">
        <v>18</v>
      </c>
      <c r="C27" s="21" t="s">
        <v>9</v>
      </c>
      <c r="D27" s="21" t="s">
        <v>10</v>
      </c>
      <c r="E27" s="63" t="s">
        <v>37</v>
      </c>
      <c r="F27" s="21" t="s">
        <v>11</v>
      </c>
      <c r="G27" s="13"/>
      <c r="H27" s="22" t="s">
        <v>27</v>
      </c>
      <c r="I27" s="21" t="s">
        <v>9</v>
      </c>
      <c r="J27" s="23" t="s">
        <v>10</v>
      </c>
      <c r="K27" s="63" t="s">
        <v>37</v>
      </c>
      <c r="L27" s="21" t="s">
        <v>11</v>
      </c>
    </row>
    <row r="28" spans="2:12">
      <c r="B28" s="18" t="s">
        <v>65</v>
      </c>
      <c r="C28" s="17"/>
      <c r="D28" s="17"/>
      <c r="E28" s="58"/>
      <c r="F28" s="17">
        <f>Insurance100113[[#This Row],[Budgeted
cost]]-Insurance100113[[#This Row],[Actual
cost]]</f>
        <v>0</v>
      </c>
      <c r="G28" s="13"/>
      <c r="H28" s="18" t="s">
        <v>20</v>
      </c>
      <c r="I28" s="17"/>
      <c r="J28" s="17"/>
      <c r="K28" s="58"/>
      <c r="L28" s="17">
        <f>Pets97110[[#This Row],[Budgeted
cost]]-Pets97110[[#This Row],[Actual
cost]]</f>
        <v>0</v>
      </c>
    </row>
    <row r="29" spans="2:12">
      <c r="B29" s="18" t="s">
        <v>66</v>
      </c>
      <c r="C29" s="17"/>
      <c r="D29" s="17"/>
      <c r="E29" s="58"/>
      <c r="F29" s="17">
        <f>Insurance100113[[#This Row],[Budgeted
cost]]-Insurance100113[[#This Row],[Actual
cost]]</f>
        <v>0</v>
      </c>
      <c r="G29" s="13"/>
      <c r="H29" s="18" t="s">
        <v>54</v>
      </c>
      <c r="I29" s="17"/>
      <c r="J29" s="17"/>
      <c r="K29" s="58"/>
      <c r="L29" s="17">
        <f>Pets97110[[#This Row],[Budgeted
cost]]-Pets97110[[#This Row],[Actual
cost]]</f>
        <v>0</v>
      </c>
    </row>
    <row r="30" spans="2:12">
      <c r="B30" s="18" t="s">
        <v>67</v>
      </c>
      <c r="C30" s="17"/>
      <c r="D30" s="17"/>
      <c r="E30" s="58"/>
      <c r="F30" s="17">
        <f>Insurance100113[[#This Row],[Budgeted
cost]]-Insurance100113[[#This Row],[Actual
cost]]</f>
        <v>0</v>
      </c>
      <c r="G30" s="13"/>
      <c r="H30" s="18" t="s">
        <v>68</v>
      </c>
      <c r="I30" s="17"/>
      <c r="J30" s="17"/>
      <c r="K30" s="58"/>
      <c r="L30" s="17">
        <f>Pets97110[[#This Row],[Budgeted
cost]]-Pets97110[[#This Row],[Actual
cost]]</f>
        <v>0</v>
      </c>
    </row>
    <row r="31" spans="2:12">
      <c r="B31" s="18" t="s">
        <v>49</v>
      </c>
      <c r="C31" s="17"/>
      <c r="D31" s="17"/>
      <c r="E31" s="58"/>
      <c r="F31" s="17">
        <f>Insurance100113[[#This Row],[Budgeted
cost]]-Insurance100113[[#This Row],[Actual
cost]]</f>
        <v>0</v>
      </c>
      <c r="G31" s="13"/>
      <c r="H31" s="18" t="s">
        <v>69</v>
      </c>
      <c r="I31" s="17"/>
      <c r="J31" s="17"/>
      <c r="K31" s="58"/>
      <c r="L31" s="17">
        <f>Pets97110[[#This Row],[Budgeted
cost]]-Pets97110[[#This Row],[Actual
cost]]</f>
        <v>0</v>
      </c>
    </row>
    <row r="32" spans="2:12">
      <c r="B32" s="18" t="s">
        <v>49</v>
      </c>
      <c r="C32" s="17"/>
      <c r="D32" s="17"/>
      <c r="E32" s="58"/>
      <c r="F32" s="17">
        <f>Insurance100113[[#This Row],[Budgeted
cost]]-Insurance100113[[#This Row],[Actual
cost]]</f>
        <v>0</v>
      </c>
      <c r="G32" s="13"/>
      <c r="H32" s="18" t="s">
        <v>49</v>
      </c>
      <c r="I32" s="17"/>
      <c r="J32" s="17"/>
      <c r="K32" s="58"/>
      <c r="L32" s="17">
        <f>Pets97110[[#This Row],[Budgeted
cost]]-Pets97110[[#This Row],[Actual
cost]]</f>
        <v>0</v>
      </c>
    </row>
    <row r="33" spans="2:12">
      <c r="B33" s="18" t="s">
        <v>31</v>
      </c>
      <c r="C33" s="19">
        <f>SUBTOTAL(109,Insurance100113[Budgeted
cost])</f>
        <v>0</v>
      </c>
      <c r="D33" s="19">
        <f>SUBTOTAL(109,Insurance100113[Actual
cost])</f>
        <v>0</v>
      </c>
      <c r="E33" s="61"/>
      <c r="F33" s="19">
        <f>SUBTOTAL(109,Insurance100113[Difference])</f>
        <v>0</v>
      </c>
      <c r="G33" s="13"/>
      <c r="H33" s="18" t="s">
        <v>31</v>
      </c>
      <c r="I33" s="19">
        <f>SUBTOTAL(109,Pets97110[Budgeted
cost])</f>
        <v>0</v>
      </c>
      <c r="J33" s="19">
        <f>SUBTOTAL(109,Pets97110[Actual
cost])</f>
        <v>0</v>
      </c>
      <c r="K33" s="64"/>
      <c r="L33" s="19">
        <f>SUBTOTAL(109,Pets97110[Difference])</f>
        <v>0</v>
      </c>
    </row>
    <row r="34" spans="2:12" ht="17.45">
      <c r="B34" s="7"/>
      <c r="C34" s="6"/>
      <c r="D34" s="6"/>
      <c r="E34" s="62"/>
      <c r="F34" s="13"/>
    </row>
    <row r="35" spans="2:12" ht="27.6">
      <c r="B35" s="22" t="s">
        <v>20</v>
      </c>
      <c r="C35" s="57" t="s">
        <v>9</v>
      </c>
      <c r="D35" s="21" t="s">
        <v>10</v>
      </c>
      <c r="E35" s="63" t="s">
        <v>37</v>
      </c>
      <c r="F35" s="21" t="s">
        <v>11</v>
      </c>
      <c r="H35" s="22" t="s">
        <v>21</v>
      </c>
      <c r="I35" s="21" t="s">
        <v>70</v>
      </c>
      <c r="J35" s="23" t="s">
        <v>71</v>
      </c>
      <c r="K35" s="63" t="s">
        <v>37</v>
      </c>
      <c r="L35" s="21" t="s">
        <v>11</v>
      </c>
    </row>
    <row r="36" spans="2:12">
      <c r="B36" s="18" t="s">
        <v>72</v>
      </c>
      <c r="C36" s="17"/>
      <c r="D36" s="17"/>
      <c r="E36" s="58"/>
      <c r="F36" s="17">
        <f>Food99112[[#This Row],[Budgeted
cost]]-Food99112[[#This Row],[Actual
cost]]</f>
        <v>0</v>
      </c>
      <c r="H36" s="18" t="s">
        <v>73</v>
      </c>
      <c r="I36" s="17"/>
      <c r="J36" s="17"/>
      <c r="K36" s="58"/>
      <c r="L36" s="17">
        <f>Taxes93106[[#This Row],[Budgeted 
cost]]-Taxes93106[[#This Row],[Actual 
cost]]</f>
        <v>0</v>
      </c>
    </row>
    <row r="37" spans="2:12">
      <c r="B37" s="18" t="s">
        <v>74</v>
      </c>
      <c r="C37" s="17"/>
      <c r="D37" s="17"/>
      <c r="E37" s="58"/>
      <c r="F37" s="17">
        <f>Food99112[[#This Row],[Budgeted
cost]]-Food99112[[#This Row],[Actual
cost]]</f>
        <v>0</v>
      </c>
      <c r="G37" s="13"/>
      <c r="H37" s="18" t="s">
        <v>75</v>
      </c>
      <c r="I37" s="17"/>
      <c r="J37" s="17"/>
      <c r="K37" s="58"/>
      <c r="L37" s="17">
        <f>Taxes93106[[#This Row],[Budgeted 
cost]]-Taxes93106[[#This Row],[Actual 
cost]]</f>
        <v>0</v>
      </c>
    </row>
    <row r="38" spans="2:12">
      <c r="B38" s="18" t="s">
        <v>76</v>
      </c>
      <c r="C38" s="17"/>
      <c r="D38" s="17"/>
      <c r="E38" s="58"/>
      <c r="F38" s="17">
        <f>Food99112[[#This Row],[Budgeted
cost]]-Food99112[[#This Row],[Actual
cost]]</f>
        <v>0</v>
      </c>
      <c r="G38" s="13"/>
      <c r="H38" s="18" t="s">
        <v>49</v>
      </c>
      <c r="I38" s="17"/>
      <c r="J38" s="17"/>
      <c r="K38" s="58"/>
      <c r="L38" s="17">
        <f>Taxes93106[[#This Row],[Budgeted 
cost]]-Taxes93106[[#This Row],[Actual 
cost]]</f>
        <v>0</v>
      </c>
    </row>
    <row r="39" spans="2:12">
      <c r="B39" s="18" t="s">
        <v>49</v>
      </c>
      <c r="C39" s="17"/>
      <c r="D39" s="17"/>
      <c r="E39" s="58"/>
      <c r="F39" s="17">
        <f>Food99112[[#This Row],[Budgeted
cost]]-Food99112[[#This Row],[Actual
cost]]</f>
        <v>0</v>
      </c>
      <c r="G39" s="13"/>
      <c r="H39" s="18" t="s">
        <v>49</v>
      </c>
      <c r="I39" s="17"/>
      <c r="J39" s="17"/>
      <c r="K39" s="58"/>
      <c r="L39" s="17">
        <f>Taxes93106[[#This Row],[Budgeted 
cost]]-Taxes93106[[#This Row],[Actual 
cost]]</f>
        <v>0</v>
      </c>
    </row>
    <row r="40" spans="2:12">
      <c r="B40" s="18" t="s">
        <v>49</v>
      </c>
      <c r="C40" s="17"/>
      <c r="D40" s="17"/>
      <c r="E40" s="58"/>
      <c r="F40" s="17">
        <f>Food99112[[#This Row],[Budgeted
cost]]-Food99112[[#This Row],[Actual
cost]]</f>
        <v>0</v>
      </c>
      <c r="G40" s="13"/>
      <c r="H40" s="18" t="s">
        <v>31</v>
      </c>
      <c r="I40" s="19">
        <f>SUBTOTAL(109,Taxes93106[Budgeted 
cost])</f>
        <v>0</v>
      </c>
      <c r="J40" s="19">
        <f>SUBTOTAL(109,Taxes93106[Actual 
cost])</f>
        <v>0</v>
      </c>
      <c r="K40" s="61"/>
      <c r="L40" s="19">
        <f>SUBTOTAL(109,Taxes93106[Difference])</f>
        <v>0</v>
      </c>
    </row>
    <row r="41" spans="2:12" ht="15">
      <c r="B41" s="18" t="s">
        <v>31</v>
      </c>
      <c r="C41" s="19">
        <f>SUBTOTAL(109,Food99112[Budgeted
cost])</f>
        <v>0</v>
      </c>
      <c r="D41" s="19">
        <f>SUBTOTAL(109,Food99112[Actual
cost])</f>
        <v>0</v>
      </c>
      <c r="E41" s="61"/>
      <c r="F41" s="19">
        <f>SUBTOTAL(109,Food99112[Difference])</f>
        <v>0</v>
      </c>
      <c r="G41" s="13"/>
      <c r="H41" s="3"/>
      <c r="I41" s="4"/>
      <c r="J41" s="4"/>
      <c r="K41" s="65"/>
    </row>
    <row r="42" spans="2:12" ht="24.6">
      <c r="B42" s="5"/>
      <c r="C42" s="6"/>
      <c r="D42" s="6"/>
      <c r="E42" s="62"/>
      <c r="F42" s="13"/>
      <c r="G42" s="13"/>
      <c r="I42" s="20"/>
      <c r="J42" s="20"/>
      <c r="K42" s="59"/>
    </row>
    <row r="43" spans="2:12" ht="27.6">
      <c r="B43" s="22" t="s">
        <v>22</v>
      </c>
      <c r="C43" s="21" t="s">
        <v>9</v>
      </c>
      <c r="D43" s="21" t="s">
        <v>10</v>
      </c>
      <c r="E43" s="63" t="s">
        <v>37</v>
      </c>
      <c r="F43" s="21" t="s">
        <v>11</v>
      </c>
      <c r="G43" s="13"/>
      <c r="H43" s="22" t="s">
        <v>16</v>
      </c>
      <c r="I43" s="21" t="s">
        <v>9</v>
      </c>
      <c r="J43" s="23" t="s">
        <v>10</v>
      </c>
      <c r="K43" s="63" t="s">
        <v>37</v>
      </c>
      <c r="L43" s="21" t="s">
        <v>11</v>
      </c>
    </row>
    <row r="44" spans="2:12">
      <c r="B44" s="18" t="s">
        <v>54</v>
      </c>
      <c r="C44" s="17"/>
      <c r="D44" s="17"/>
      <c r="E44" s="58"/>
      <c r="F44" s="17">
        <f>Children98111[[#This Row],[Budgeted
cost]]-Children98111[[#This Row],[Actual
cost]]</f>
        <v>0</v>
      </c>
      <c r="H44" s="18" t="s">
        <v>77</v>
      </c>
      <c r="I44" s="17"/>
      <c r="J44" s="17"/>
      <c r="K44" s="58"/>
      <c r="L44" s="17">
        <f>Loans94107[[#This Row],[Budgeted
cost]]-Loans94107[[#This Row],[Actual
cost]]</f>
        <v>0</v>
      </c>
    </row>
    <row r="45" spans="2:12">
      <c r="B45" s="18" t="s">
        <v>58</v>
      </c>
      <c r="C45" s="17"/>
      <c r="D45" s="17"/>
      <c r="E45" s="58"/>
      <c r="F45" s="17">
        <f>Children98111[[#This Row],[Budgeted
cost]]-Children98111[[#This Row],[Actual
cost]]</f>
        <v>0</v>
      </c>
      <c r="G45" s="13"/>
      <c r="H45" s="18" t="s">
        <v>78</v>
      </c>
      <c r="I45" s="17"/>
      <c r="J45" s="17"/>
      <c r="K45" s="58"/>
      <c r="L45" s="17">
        <f>Loans94107[[#This Row],[Budgeted
cost]]-Loans94107[[#This Row],[Actual
cost]]</f>
        <v>0</v>
      </c>
    </row>
    <row r="46" spans="2:12">
      <c r="B46" s="18" t="s">
        <v>79</v>
      </c>
      <c r="C46" s="17"/>
      <c r="D46" s="17"/>
      <c r="E46" s="58"/>
      <c r="F46" s="17">
        <f>Children98111[[#This Row],[Budgeted
cost]]-Children98111[[#This Row],[Actual
cost]]</f>
        <v>0</v>
      </c>
      <c r="G46" s="13"/>
      <c r="H46" s="18" t="s">
        <v>80</v>
      </c>
      <c r="I46" s="17"/>
      <c r="J46" s="17"/>
      <c r="K46" s="58"/>
      <c r="L46" s="17">
        <f>Loans94107[[#This Row],[Budgeted
cost]]-Loans94107[[#This Row],[Actual
cost]]</f>
        <v>0</v>
      </c>
    </row>
    <row r="47" spans="2:12">
      <c r="B47" s="18" t="s">
        <v>81</v>
      </c>
      <c r="C47" s="17"/>
      <c r="D47" s="17"/>
      <c r="E47" s="58"/>
      <c r="F47" s="17">
        <f>Children98111[[#This Row],[Budgeted
cost]]-Children98111[[#This Row],[Actual
cost]]</f>
        <v>0</v>
      </c>
      <c r="G47" s="13"/>
      <c r="H47" s="18" t="s">
        <v>80</v>
      </c>
      <c r="I47" s="17"/>
      <c r="J47" s="17"/>
      <c r="K47" s="58"/>
      <c r="L47" s="17">
        <f>Loans94107[[#This Row],[Budgeted
cost]]-Loans94107[[#This Row],[Actual
cost]]</f>
        <v>0</v>
      </c>
    </row>
    <row r="48" spans="2:12">
      <c r="B48" s="18" t="s">
        <v>63</v>
      </c>
      <c r="C48" s="17"/>
      <c r="D48" s="17"/>
      <c r="E48" s="58"/>
      <c r="F48" s="17">
        <f>Children98111[[#This Row],[Budgeted
cost]]-Children98111[[#This Row],[Actual
cost]]</f>
        <v>0</v>
      </c>
      <c r="G48" s="13"/>
      <c r="H48" s="18" t="s">
        <v>80</v>
      </c>
      <c r="I48" s="17"/>
      <c r="J48" s="17"/>
      <c r="K48" s="58"/>
      <c r="L48" s="17">
        <f>Loans94107[[#This Row],[Budgeted
cost]]-Loans94107[[#This Row],[Actual
cost]]</f>
        <v>0</v>
      </c>
    </row>
    <row r="49" spans="2:12">
      <c r="B49" s="18" t="s">
        <v>82</v>
      </c>
      <c r="C49" s="17"/>
      <c r="D49" s="17"/>
      <c r="E49" s="58"/>
      <c r="F49" s="17">
        <f>Children98111[[#This Row],[Budgeted
cost]]-Children98111[[#This Row],[Actual
cost]]</f>
        <v>0</v>
      </c>
      <c r="G49" s="13"/>
      <c r="H49" s="18" t="s">
        <v>49</v>
      </c>
      <c r="I49" s="17"/>
      <c r="J49" s="17"/>
      <c r="K49" s="58"/>
      <c r="L49" s="17">
        <f>Loans94107[[#This Row],[Budgeted
cost]]-Loans94107[[#This Row],[Actual
cost]]</f>
        <v>0</v>
      </c>
    </row>
    <row r="50" spans="2:12">
      <c r="B50" s="18" t="s">
        <v>83</v>
      </c>
      <c r="C50" s="17"/>
      <c r="D50" s="17"/>
      <c r="E50" s="58"/>
      <c r="F50" s="17">
        <f>Children98111[[#This Row],[Budgeted
cost]]-Children98111[[#This Row],[Actual
cost]]</f>
        <v>0</v>
      </c>
      <c r="G50" s="13"/>
      <c r="H50" s="18" t="s">
        <v>49</v>
      </c>
      <c r="I50" s="17"/>
      <c r="J50" s="17"/>
      <c r="K50" s="58"/>
      <c r="L50" s="17">
        <f>Loans94107[[#This Row],[Budgeted
cost]]-Loans94107[[#This Row],[Actual
cost]]</f>
        <v>0</v>
      </c>
    </row>
    <row r="51" spans="2:12">
      <c r="B51" s="18" t="s">
        <v>84</v>
      </c>
      <c r="C51" s="17"/>
      <c r="D51" s="17"/>
      <c r="E51" s="58"/>
      <c r="F51" s="17">
        <f>Children98111[[#This Row],[Budgeted
cost]]-Children98111[[#This Row],[Actual
cost]]</f>
        <v>0</v>
      </c>
      <c r="G51" s="13"/>
      <c r="H51" s="18" t="s">
        <v>31</v>
      </c>
      <c r="I51" s="19">
        <f>SUBTOTAL(109,Loans94107[Budgeted
cost])</f>
        <v>0</v>
      </c>
      <c r="J51" s="19">
        <f>SUBTOTAL(109,Loans94107[Actual
cost])</f>
        <v>0</v>
      </c>
      <c r="K51" s="61"/>
      <c r="L51" s="19">
        <f>SUBTOTAL(109,Loans94107[Difference])</f>
        <v>0</v>
      </c>
    </row>
    <row r="52" spans="2:12">
      <c r="B52" s="18" t="s">
        <v>49</v>
      </c>
      <c r="C52" s="17"/>
      <c r="D52" s="17"/>
      <c r="E52" s="58"/>
      <c r="F52" s="17">
        <f>Children98111[[#This Row],[Budgeted
cost]]-Children98111[[#This Row],[Actual
cost]]</f>
        <v>0</v>
      </c>
      <c r="G52" s="13"/>
    </row>
    <row r="53" spans="2:12" ht="17.45">
      <c r="B53" s="18" t="s">
        <v>49</v>
      </c>
      <c r="C53" s="17"/>
      <c r="D53" s="17"/>
      <c r="E53" s="58"/>
      <c r="F53" s="17">
        <f>Children98111[[#This Row],[Budgeted
cost]]-Children98111[[#This Row],[Actual
cost]]</f>
        <v>0</v>
      </c>
      <c r="G53" s="13"/>
      <c r="H53" s="7"/>
      <c r="I53" s="6"/>
      <c r="J53" s="6"/>
      <c r="K53" s="62"/>
    </row>
    <row r="54" spans="2:12">
      <c r="B54" s="18" t="s">
        <v>31</v>
      </c>
      <c r="C54" s="19">
        <f>SUBTOTAL(109,Children98111[Budgeted
cost])</f>
        <v>0</v>
      </c>
      <c r="D54" s="19">
        <f>SUBTOTAL(109,Children98111[Actual
cost])</f>
        <v>0</v>
      </c>
      <c r="E54" s="61"/>
      <c r="F54" s="19">
        <f>SUBTOTAL(109,Children98111[Difference])</f>
        <v>0</v>
      </c>
      <c r="G54" s="13"/>
    </row>
    <row r="55" spans="2:12" ht="15">
      <c r="B55" s="5"/>
      <c r="C55" s="6"/>
      <c r="D55" s="6"/>
      <c r="E55" s="62"/>
      <c r="F55" s="13"/>
      <c r="G55" s="13"/>
    </row>
    <row r="56" spans="2:12" ht="27.6">
      <c r="B56" s="22" t="s">
        <v>25</v>
      </c>
      <c r="C56" s="21" t="s">
        <v>9</v>
      </c>
      <c r="D56" s="21" t="s">
        <v>10</v>
      </c>
      <c r="E56" s="63" t="s">
        <v>37</v>
      </c>
      <c r="F56" s="21" t="s">
        <v>11</v>
      </c>
      <c r="G56" s="14"/>
      <c r="H56" s="22" t="s">
        <v>30</v>
      </c>
      <c r="I56" s="21" t="s">
        <v>9</v>
      </c>
      <c r="J56" s="23" t="s">
        <v>10</v>
      </c>
      <c r="K56" s="63" t="s">
        <v>37</v>
      </c>
      <c r="L56" s="21" t="s">
        <v>11</v>
      </c>
    </row>
    <row r="57" spans="2:12">
      <c r="B57" s="18" t="s">
        <v>85</v>
      </c>
      <c r="C57" s="17"/>
      <c r="D57" s="17"/>
      <c r="E57" s="58"/>
      <c r="F57" s="17">
        <f>Legal90103[[#This Row],[Budgeted
cost]]-Legal90103[[#This Row],[Actual
cost]]</f>
        <v>0</v>
      </c>
      <c r="H57" s="18" t="s">
        <v>86</v>
      </c>
      <c r="I57" s="17"/>
      <c r="J57" s="17"/>
      <c r="K57" s="58"/>
      <c r="L57" s="17">
        <f>Gifts91104[[#This Row],[Budgeted
cost]]-Gifts91104[[#This Row],[Actual
cost]]</f>
        <v>0</v>
      </c>
    </row>
    <row r="58" spans="2:12">
      <c r="B58" s="18" t="s">
        <v>87</v>
      </c>
      <c r="C58" s="17"/>
      <c r="D58" s="17"/>
      <c r="E58" s="58"/>
      <c r="F58" s="17">
        <f>Legal90103[[#This Row],[Budgeted
cost]]-Legal90103[[#This Row],[Actual
cost]]</f>
        <v>0</v>
      </c>
      <c r="G58" s="13"/>
      <c r="H58" s="18" t="s">
        <v>88</v>
      </c>
      <c r="I58" s="17"/>
      <c r="J58" s="17"/>
      <c r="K58" s="58"/>
      <c r="L58" s="17">
        <f>Gifts91104[[#This Row],[Budgeted
cost]]-Gifts91104[[#This Row],[Actual
cost]]</f>
        <v>0</v>
      </c>
    </row>
    <row r="59" spans="2:12">
      <c r="B59" s="18" t="s">
        <v>89</v>
      </c>
      <c r="C59" s="17"/>
      <c r="D59" s="17"/>
      <c r="E59" s="58"/>
      <c r="F59" s="17">
        <f>Legal90103[[#This Row],[Budgeted
cost]]-Legal90103[[#This Row],[Actual
cost]]</f>
        <v>0</v>
      </c>
      <c r="G59" s="13"/>
      <c r="H59" s="18" t="s">
        <v>90</v>
      </c>
      <c r="I59" s="17"/>
      <c r="J59" s="17"/>
      <c r="K59" s="58"/>
      <c r="L59" s="17">
        <f>Gifts91104[[#This Row],[Budgeted
cost]]-Gifts91104[[#This Row],[Actual
cost]]</f>
        <v>0</v>
      </c>
    </row>
    <row r="60" spans="2:12">
      <c r="B60" s="18" t="s">
        <v>49</v>
      </c>
      <c r="C60" s="17"/>
      <c r="D60" s="17"/>
      <c r="E60" s="58"/>
      <c r="F60" s="17">
        <f>Legal90103[[#This Row],[Budgeted
cost]]-Legal90103[[#This Row],[Actual
cost]]</f>
        <v>0</v>
      </c>
      <c r="G60" s="13"/>
      <c r="H60" s="18" t="s">
        <v>31</v>
      </c>
      <c r="I60" s="19">
        <f>SUBTOTAL(109,Gifts91104[Budgeted
cost])</f>
        <v>0</v>
      </c>
      <c r="J60" s="19">
        <f>SUBTOTAL(109,Gifts91104[Actual
cost])</f>
        <v>0</v>
      </c>
      <c r="K60" s="64"/>
      <c r="L60" s="19">
        <f>SUBTOTAL(109,Gifts91104[Difference])</f>
        <v>0</v>
      </c>
    </row>
    <row r="61" spans="2:12">
      <c r="B61" s="18" t="s">
        <v>49</v>
      </c>
      <c r="C61" s="17"/>
      <c r="D61" s="17"/>
      <c r="E61" s="58"/>
      <c r="F61" s="17">
        <f>Legal90103[[#This Row],[Budgeted
cost]]-Legal90103[[#This Row],[Actual
cost]]</f>
        <v>0</v>
      </c>
      <c r="G61" s="13"/>
    </row>
    <row r="62" spans="2:12">
      <c r="B62" s="18" t="s">
        <v>31</v>
      </c>
      <c r="C62" s="19">
        <f>SUBTOTAL(109,Legal90103[Budgeted
cost])</f>
        <v>0</v>
      </c>
      <c r="D62" s="19">
        <f>SUBTOTAL(109,Legal90103[Actual
cost])</f>
        <v>0</v>
      </c>
      <c r="E62" s="61"/>
      <c r="F62" s="19">
        <f>SUBTOTAL(109,Legal90103[Difference])</f>
        <v>0</v>
      </c>
      <c r="G62" s="13"/>
    </row>
    <row r="63" spans="2:12" ht="24.6">
      <c r="E63" s="12"/>
      <c r="G63" s="15"/>
      <c r="I63" s="20"/>
      <c r="J63" s="20"/>
      <c r="K63" s="59"/>
    </row>
    <row r="64" spans="2:12" ht="27.6">
      <c r="B64" s="22" t="s">
        <v>19</v>
      </c>
      <c r="C64" s="21" t="s">
        <v>9</v>
      </c>
      <c r="D64" s="23" t="s">
        <v>10</v>
      </c>
      <c r="E64" s="63" t="s">
        <v>37</v>
      </c>
      <c r="F64" s="21" t="s">
        <v>11</v>
      </c>
      <c r="G64" s="14"/>
    </row>
    <row r="65" spans="2:10">
      <c r="B65" s="18" t="s">
        <v>91</v>
      </c>
      <c r="C65" s="17"/>
      <c r="D65" s="17"/>
      <c r="E65" s="58"/>
      <c r="F65" s="17">
        <f>Entertainment95108[[#This Row],[Budgeted
cost]]-Entertainment95108[[#This Row],[Actual
cost]]</f>
        <v>0</v>
      </c>
    </row>
    <row r="66" spans="2:10">
      <c r="B66" s="18" t="s">
        <v>92</v>
      </c>
      <c r="C66" s="17"/>
      <c r="D66" s="17"/>
      <c r="E66" s="58"/>
      <c r="F66" s="17">
        <f>Entertainment95108[[#This Row],[Budgeted
cost]]-Entertainment95108[[#This Row],[Actual
cost]]</f>
        <v>0</v>
      </c>
      <c r="G66" s="13"/>
    </row>
    <row r="67" spans="2:10">
      <c r="B67" s="18" t="s">
        <v>93</v>
      </c>
      <c r="C67" s="17"/>
      <c r="D67" s="17"/>
      <c r="E67" s="58"/>
      <c r="F67" s="17">
        <f>Entertainment95108[[#This Row],[Budgeted
cost]]-Entertainment95108[[#This Row],[Actual
cost]]</f>
        <v>0</v>
      </c>
      <c r="G67" s="13"/>
    </row>
    <row r="68" spans="2:10">
      <c r="B68" s="18" t="s">
        <v>94</v>
      </c>
      <c r="C68" s="17"/>
      <c r="D68" s="17"/>
      <c r="E68" s="58"/>
      <c r="F68" s="17">
        <f>Entertainment95108[[#This Row],[Budgeted
cost]]-Entertainment95108[[#This Row],[Actual
cost]]</f>
        <v>0</v>
      </c>
    </row>
    <row r="69" spans="2:10">
      <c r="B69" s="18" t="s">
        <v>95</v>
      </c>
      <c r="C69" s="17"/>
      <c r="D69" s="17"/>
      <c r="E69" s="58"/>
      <c r="F69" s="17">
        <f>Entertainment95108[[#This Row],[Budgeted
cost]]-Entertainment95108[[#This Row],[Actual
cost]]</f>
        <v>0</v>
      </c>
    </row>
    <row r="70" spans="2:10">
      <c r="B70" s="18" t="s">
        <v>96</v>
      </c>
      <c r="C70" s="17"/>
      <c r="D70" s="17"/>
      <c r="E70" s="58"/>
      <c r="F70" s="17">
        <f>Entertainment95108[[#This Row],[Budgeted
cost]]-Entertainment95108[[#This Row],[Actual
cost]]</f>
        <v>0</v>
      </c>
    </row>
    <row r="71" spans="2:10">
      <c r="B71" s="18" t="s">
        <v>49</v>
      </c>
      <c r="C71" s="17"/>
      <c r="D71" s="17"/>
      <c r="E71" s="58"/>
      <c r="F71" s="17">
        <f>Entertainment95108[[#This Row],[Budgeted
cost]]-Entertainment95108[[#This Row],[Actual
cost]]</f>
        <v>0</v>
      </c>
    </row>
    <row r="72" spans="2:10">
      <c r="B72" s="18" t="s">
        <v>31</v>
      </c>
      <c r="C72" s="19">
        <f>SUBTOTAL(109,Entertainment95108[Budgeted
cost])</f>
        <v>0</v>
      </c>
      <c r="D72" s="19">
        <f>SUBTOTAL(109,Entertainment95108[Actual
cost])</f>
        <v>0</v>
      </c>
      <c r="E72" s="64"/>
      <c r="F72" s="19">
        <f>SUBTOTAL(109,Entertainment95108[Difference])</f>
        <v>0</v>
      </c>
      <c r="J72" s="16"/>
    </row>
    <row r="73" spans="2:10">
      <c r="E73" s="12"/>
    </row>
    <row r="74" spans="2:10">
      <c r="E74" s="12"/>
    </row>
  </sheetData>
  <conditionalFormatting sqref="B1:B14 F1:F14 G1:G25 H3:L10 H16:L24 B16:F26 G27:G33 H28:L33 B28:F34 H36:L40 B36:F42 G37:G43 H41:K41 H44:L51 B44:F55 G45:G56 H53:K53 H57:L60 B57:F62 G58:G64 B65:F72 G66:G67">
    <cfRule type="cellIs" dxfId="1089" priority="3" operator="lessThan">
      <formula>0</formula>
    </cfRule>
  </conditionalFormatting>
  <conditionalFormatting sqref="B3:F13">
    <cfRule type="cellIs" dxfId="1088" priority="2" operator="lessThan">
      <formula>0</formula>
    </cfRule>
  </conditionalFormatting>
  <conditionalFormatting sqref="F3:F12">
    <cfRule type="iconSet" priority="1">
      <iconSet iconSet="3Arrows">
        <cfvo type="percentile" val="0"/>
        <cfvo type="num" val="-50"/>
        <cfvo type="num" val="50"/>
      </iconSet>
    </cfRule>
  </conditionalFormatting>
  <conditionalFormatting sqref="L28:L32 L57:L59 F65:F71 L36:L39 F16:F24 L44:L50 F28:F32 F36:F40 F44:F53 L16:L23 F57:F61 L3:L9">
    <cfRule type="iconSet" priority="4">
      <iconSet iconSet="3Arrows">
        <cfvo type="percentile" val="0"/>
        <cfvo type="num" val="-50"/>
        <cfvo type="num" val="50"/>
      </iconSet>
    </cfRule>
  </conditionalFormatting>
  <dataValidations count="1">
    <dataValidation allowBlank="1" showInputMessage="1" showErrorMessage="1" prompt="Enter details in Transportation table below and in Insurance table starting in cell B30" sqref="G1:G14 B1:B12 B14" xr:uid="{762108D2-8CD0-4787-941E-7F5F98886597}"/>
  </dataValidations>
  <pageMargins left="0.7" right="0.7" top="0.75" bottom="0.75" header="0.3" footer="0.3"/>
  <pageSetup orientation="landscape" horizontalDpi="1200" verticalDpi="1200" r:id="rId1"/>
  <headerFooter>
    <oddFooter>&amp;C&amp;P&amp;R&amp;G</oddFooter>
  </headerFooter>
  <legacyDrawingHF r:id="rId2"/>
  <tableParts count="13">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6B664-A5AF-43A4-8100-6650C3A1040E}">
  <sheetPr>
    <tabColor theme="4"/>
  </sheetPr>
  <dimension ref="B1:J61"/>
  <sheetViews>
    <sheetView zoomScale="70" zoomScaleNormal="70" zoomScalePageLayoutView="70" workbookViewId="0">
      <selection activeCell="C3" sqref="C3:D3"/>
    </sheetView>
  </sheetViews>
  <sheetFormatPr defaultColWidth="9" defaultRowHeight="30" customHeight="1"/>
  <cols>
    <col min="1" max="1" width="1.25" customWidth="1"/>
    <col min="2" max="6" width="24.625" customWidth="1"/>
    <col min="7" max="7" width="7.75" customWidth="1"/>
    <col min="8" max="8" width="32.875" customWidth="1"/>
    <col min="9" max="9" width="32.875" style="2" customWidth="1"/>
    <col min="10" max="10" width="2.375" customWidth="1"/>
  </cols>
  <sheetData>
    <row r="1" spans="2:10" ht="77.25" customHeight="1">
      <c r="B1" s="113" t="s">
        <v>99</v>
      </c>
      <c r="C1" s="113"/>
      <c r="D1" s="113"/>
      <c r="E1" s="113"/>
      <c r="F1" s="113"/>
      <c r="G1" s="113"/>
      <c r="H1" s="113"/>
      <c r="I1" s="26"/>
      <c r="J1" s="27"/>
    </row>
    <row r="2" spans="2:10" ht="35.450000000000003">
      <c r="B2" s="54" t="s">
        <v>1</v>
      </c>
      <c r="C2" s="24" t="s">
        <v>2</v>
      </c>
      <c r="D2" s="55" t="s">
        <v>3</v>
      </c>
      <c r="E2" s="25" t="s">
        <v>4</v>
      </c>
      <c r="F2" s="1"/>
      <c r="H2" s="36"/>
      <c r="I2" s="26"/>
      <c r="J2" s="29"/>
    </row>
    <row r="3" spans="2:10" ht="35.450000000000003">
      <c r="B3" s="11"/>
      <c r="C3" s="76">
        <f>C19</f>
        <v>0</v>
      </c>
      <c r="D3" s="76">
        <f>D19</f>
        <v>0</v>
      </c>
      <c r="E3" s="78">
        <f>SUM(C3-D3)</f>
        <v>0</v>
      </c>
      <c r="F3" s="1"/>
      <c r="H3" s="36"/>
      <c r="I3" s="26"/>
      <c r="J3" s="29"/>
    </row>
    <row r="4" spans="2:10" ht="35.450000000000003">
      <c r="C4" s="33"/>
      <c r="D4" s="33"/>
      <c r="E4" s="33"/>
      <c r="F4" s="10"/>
      <c r="H4" s="36"/>
      <c r="I4" s="26"/>
      <c r="J4" s="29"/>
    </row>
    <row r="5" spans="2:10" ht="27.6">
      <c r="B5" s="79" t="s">
        <v>8</v>
      </c>
      <c r="C5" s="80" t="s">
        <v>9</v>
      </c>
      <c r="D5" s="80" t="s">
        <v>10</v>
      </c>
      <c r="E5" s="81" t="s">
        <v>11</v>
      </c>
      <c r="G5" s="10"/>
      <c r="H5" s="114" t="s">
        <v>33</v>
      </c>
      <c r="I5" s="115"/>
      <c r="J5" s="30"/>
    </row>
    <row r="6" spans="2:10" ht="15">
      <c r="B6" s="82" t="s">
        <v>13</v>
      </c>
      <c r="C6" s="83">
        <f>Housing[[#Totals],[Budgeted
cost]]</f>
        <v>0</v>
      </c>
      <c r="D6" s="83">
        <f>Housing[[#Totals],[Actual
cost]]</f>
        <v>0</v>
      </c>
      <c r="E6" s="84">
        <f>'April - Overview'!$C6-'April - Overview'!$D6</f>
        <v>0</v>
      </c>
      <c r="G6" s="10"/>
      <c r="H6" s="37" t="s">
        <v>6</v>
      </c>
      <c r="I6" s="38"/>
      <c r="J6" s="28"/>
    </row>
    <row r="7" spans="2:10" ht="15">
      <c r="B7" s="85" t="s">
        <v>15</v>
      </c>
      <c r="C7" s="73">
        <f>Transportation[[#Totals],[Budgeted
cost]]</f>
        <v>0</v>
      </c>
      <c r="D7" s="73">
        <f>Transportation[[#Totals],[Actual
cost]]</f>
        <v>0</v>
      </c>
      <c r="E7" s="86">
        <f>'April - Overview'!$C7-'April - Overview'!$D7</f>
        <v>0</v>
      </c>
      <c r="G7" s="10"/>
      <c r="H7" s="69" t="s">
        <v>7</v>
      </c>
      <c r="I7" s="71"/>
      <c r="J7" s="28"/>
    </row>
    <row r="8" spans="2:10" ht="15">
      <c r="B8" s="87" t="s">
        <v>16</v>
      </c>
      <c r="C8" s="72">
        <f>Loans[[#Totals],[Budgeted
cost]]</f>
        <v>0</v>
      </c>
      <c r="D8" s="72">
        <f>Loans[[#Totals],[Actual
cost]]</f>
        <v>0</v>
      </c>
      <c r="E8" s="88">
        <f>'April - Overview'!$C8-'April - Overview'!$D8</f>
        <v>0</v>
      </c>
      <c r="G8" s="10"/>
      <c r="H8" s="41" t="s">
        <v>12</v>
      </c>
      <c r="I8" s="38"/>
      <c r="J8" s="28"/>
    </row>
    <row r="9" spans="2:10" ht="17.45">
      <c r="B9" s="85" t="s">
        <v>18</v>
      </c>
      <c r="C9" s="73">
        <f>Insurance[[#Totals],[Budgeted
cost]]</f>
        <v>0</v>
      </c>
      <c r="D9" s="73">
        <f>Insurance[[#Totals],[Actual
cost]]</f>
        <v>0</v>
      </c>
      <c r="E9" s="86">
        <f>'April - Overview'!$C9-'April - Overview'!$D9</f>
        <v>0</v>
      </c>
      <c r="G9" s="10"/>
      <c r="H9" s="42" t="s">
        <v>14</v>
      </c>
      <c r="I9" s="43">
        <f>SUM(I6:I8)</f>
        <v>0</v>
      </c>
      <c r="J9" s="28"/>
    </row>
    <row r="10" spans="2:10" ht="15">
      <c r="B10" s="87" t="s">
        <v>19</v>
      </c>
      <c r="C10" s="72">
        <f>Entertainment[[#Totals],[Budgeted
cost]]</f>
        <v>0</v>
      </c>
      <c r="D10" s="72">
        <f>Entertainment[[#Totals],[Actual
cost]]</f>
        <v>0</v>
      </c>
      <c r="E10" s="88">
        <f>'April - Overview'!$C10-'April - Overview'!$D10</f>
        <v>0</v>
      </c>
      <c r="G10" s="10"/>
      <c r="H10" s="31"/>
      <c r="I10" s="31"/>
      <c r="J10" s="28"/>
    </row>
    <row r="11" spans="2:10" ht="24.6">
      <c r="B11" s="85" t="s">
        <v>20</v>
      </c>
      <c r="C11" s="94">
        <f>Food[[#Totals],[Budgeted
cost]]</f>
        <v>0</v>
      </c>
      <c r="D11" s="94">
        <f>Food[[#Totals],[Actual
cost]]</f>
        <v>0</v>
      </c>
      <c r="E11" s="95">
        <f>'April - Overview'!$C11-'April - Overview'!$D11</f>
        <v>0</v>
      </c>
      <c r="G11" s="10"/>
      <c r="H11" s="116" t="s">
        <v>34</v>
      </c>
      <c r="I11" s="117"/>
      <c r="J11" s="31"/>
    </row>
    <row r="12" spans="2:10" ht="15">
      <c r="B12" s="87" t="s">
        <v>21</v>
      </c>
      <c r="C12" s="96">
        <f>Taxes[[#Totals],[Budgeted 
cost]]</f>
        <v>0</v>
      </c>
      <c r="D12" s="96">
        <f>Taxes[[#Totals],[Actual 
cost]]</f>
        <v>0</v>
      </c>
      <c r="E12" s="97">
        <f>'April - Overview'!$C12-'April - Overview'!$D12</f>
        <v>0</v>
      </c>
      <c r="G12" s="10"/>
      <c r="H12" s="41" t="s">
        <v>6</v>
      </c>
      <c r="I12" s="44"/>
      <c r="J12" s="30"/>
    </row>
    <row r="13" spans="2:10" ht="15">
      <c r="B13" s="85" t="s">
        <v>22</v>
      </c>
      <c r="C13" s="98">
        <f>Children[[#Totals],[Budgeted
cost]]</f>
        <v>0</v>
      </c>
      <c r="D13" s="98">
        <f>Children[[#Totals],[Actual
cost]]</f>
        <v>0</v>
      </c>
      <c r="E13" s="99">
        <f>'April - Overview'!$C13-'April - Overview'!$D13</f>
        <v>0</v>
      </c>
      <c r="G13" s="10"/>
      <c r="H13" s="69" t="s">
        <v>7</v>
      </c>
      <c r="I13" s="70"/>
      <c r="J13" s="28"/>
    </row>
    <row r="14" spans="2:10" ht="15">
      <c r="B14" s="87" t="s">
        <v>23</v>
      </c>
      <c r="C14" s="100">
        <f>PersonalCare[[#Totals],[Budgeted
cost]]</f>
        <v>0</v>
      </c>
      <c r="D14" s="100">
        <f>PersonalCare[[#Totals],[Actual
cost]]</f>
        <v>0</v>
      </c>
      <c r="E14" s="101">
        <f>'April - Overview'!$C14-'April - Overview'!$D14</f>
        <v>0</v>
      </c>
      <c r="G14" s="10"/>
      <c r="H14" s="41" t="s">
        <v>12</v>
      </c>
      <c r="I14" s="44"/>
      <c r="J14" s="28"/>
    </row>
    <row r="15" spans="2:10" ht="17.45">
      <c r="B15" s="85" t="s">
        <v>25</v>
      </c>
      <c r="C15" s="94">
        <f>Legal[[#Totals],[Budgeted
cost]]</f>
        <v>0</v>
      </c>
      <c r="D15" s="94">
        <f>Legal[[#Totals],[Actual
cost]]</f>
        <v>0</v>
      </c>
      <c r="E15" s="95">
        <f>'April - Overview'!$C15-'April - Overview'!$D15</f>
        <v>0</v>
      </c>
      <c r="G15" s="10"/>
      <c r="H15" s="46" t="s">
        <v>14</v>
      </c>
      <c r="I15" s="47">
        <f>SUM(I12:I14)</f>
        <v>0</v>
      </c>
      <c r="J15" s="28"/>
    </row>
    <row r="16" spans="2:10" ht="15">
      <c r="B16" s="87" t="s">
        <v>27</v>
      </c>
      <c r="C16" s="96">
        <f>Pets[[#Totals],[Budgeted
cost]]</f>
        <v>0</v>
      </c>
      <c r="D16" s="96">
        <f>Pets[[#Totals],[Actual
cost]]</f>
        <v>0</v>
      </c>
      <c r="E16" s="97">
        <f>'April - Overview'!$C16-'April - Overview'!$D16</f>
        <v>0</v>
      </c>
      <c r="G16" s="10"/>
      <c r="H16" s="31"/>
      <c r="I16" s="31"/>
      <c r="J16" s="28"/>
    </row>
    <row r="17" spans="2:10" ht="24.6">
      <c r="B17" s="85" t="s">
        <v>29</v>
      </c>
      <c r="C17" s="73">
        <f>Savings[[#Totals],[Budgeted
cost]]</f>
        <v>0</v>
      </c>
      <c r="D17" s="73">
        <f>Savings[[#Totals],[Actual
cost]]</f>
        <v>0</v>
      </c>
      <c r="E17" s="86">
        <f>'April - Overview'!$C17-'April - Overview'!$D17</f>
        <v>0</v>
      </c>
      <c r="F17" s="10"/>
      <c r="G17" s="8"/>
      <c r="H17" s="118" t="s">
        <v>24</v>
      </c>
      <c r="I17" s="119"/>
      <c r="J17" s="29"/>
    </row>
    <row r="18" spans="2:10" ht="15.6" thickBot="1">
      <c r="B18" s="87" t="s">
        <v>30</v>
      </c>
      <c r="C18" s="72">
        <f>Gifts[[#Totals],[Budgeted
cost]]</f>
        <v>0</v>
      </c>
      <c r="D18" s="72">
        <f>Gifts[[#Totals],[Actual
cost]]</f>
        <v>0</v>
      </c>
      <c r="E18" s="88">
        <f>'April - Overview'!$C18-'April - Overview'!$D18</f>
        <v>0</v>
      </c>
      <c r="F18" s="34"/>
      <c r="G18" s="35"/>
      <c r="H18" s="48" t="s">
        <v>35</v>
      </c>
      <c r="I18" s="49">
        <f>SUM(I9-'April - Overview'!$C$3:$C$3)</f>
        <v>0</v>
      </c>
      <c r="J18" s="29"/>
    </row>
    <row r="19" spans="2:10" s="32" customFormat="1" ht="25.15" thickTop="1">
      <c r="B19" s="91" t="s">
        <v>31</v>
      </c>
      <c r="C19" s="92">
        <f>SUBTOTAL(109,'April - Overview'!$C$6:$C$18)</f>
        <v>0</v>
      </c>
      <c r="D19" s="92">
        <f>SUBTOTAL(109,'April - Overview'!$D$6:$D$18)</f>
        <v>0</v>
      </c>
      <c r="E19" s="93">
        <f>SUBTOTAL(109,'April - Overview'!$E$6:$E$18)</f>
        <v>0</v>
      </c>
      <c r="H19" s="67" t="s">
        <v>36</v>
      </c>
      <c r="I19" s="68">
        <f>SUM(I15-D3)</f>
        <v>0</v>
      </c>
    </row>
    <row r="20" spans="2:10" ht="17.45">
      <c r="H20" s="52" t="s">
        <v>11</v>
      </c>
      <c r="I20" s="53">
        <f>SUM(I19-I18)</f>
        <v>0</v>
      </c>
    </row>
    <row r="21" spans="2:10" ht="30" customHeight="1">
      <c r="H21" s="8"/>
      <c r="I21" s="9"/>
    </row>
    <row r="22" spans="2:10" ht="30" customHeight="1">
      <c r="I22"/>
    </row>
    <row r="23" spans="2:10" ht="30" customHeight="1">
      <c r="I23"/>
    </row>
    <row r="24" spans="2:10" ht="30" customHeight="1">
      <c r="I24"/>
    </row>
    <row r="25" spans="2:10" ht="30" customHeight="1">
      <c r="I25"/>
    </row>
    <row r="26" spans="2:10" ht="30" customHeight="1">
      <c r="I26"/>
    </row>
    <row r="27" spans="2:10" ht="37.9" customHeight="1">
      <c r="I27"/>
    </row>
    <row r="28" spans="2:10" ht="30" customHeight="1">
      <c r="I28"/>
    </row>
    <row r="29" spans="2:10" ht="48" customHeight="1">
      <c r="I29"/>
    </row>
    <row r="30" spans="2:10" ht="30" customHeight="1">
      <c r="I30"/>
    </row>
    <row r="31" spans="2:10" ht="30" customHeight="1">
      <c r="I31"/>
    </row>
    <row r="32" spans="2:10" ht="30" customHeight="1">
      <c r="I32"/>
    </row>
    <row r="33" spans="9:9" ht="30" customHeight="1">
      <c r="I33"/>
    </row>
    <row r="34" spans="9:9" ht="30" customHeight="1">
      <c r="I34"/>
    </row>
    <row r="35" spans="9:9" ht="30" customHeight="1">
      <c r="I35"/>
    </row>
    <row r="36" spans="9:9" ht="30" customHeight="1">
      <c r="I36"/>
    </row>
    <row r="37" spans="9:9" ht="30" customHeight="1">
      <c r="I37"/>
    </row>
    <row r="38" spans="9:9" ht="30" customHeight="1">
      <c r="I38"/>
    </row>
    <row r="39" spans="9:9" ht="30" customHeight="1">
      <c r="I39"/>
    </row>
    <row r="40" spans="9:9" ht="37.9" customHeight="1">
      <c r="I40"/>
    </row>
    <row r="41" spans="9:9" ht="30" customHeight="1">
      <c r="I41"/>
    </row>
    <row r="42" spans="9:9" ht="48" customHeight="1">
      <c r="I42"/>
    </row>
    <row r="43" spans="9:9" ht="30" customHeight="1">
      <c r="I43"/>
    </row>
    <row r="44" spans="9:9" ht="30" customHeight="1">
      <c r="I44"/>
    </row>
    <row r="45" spans="9:9" ht="30" customHeight="1">
      <c r="I45"/>
    </row>
    <row r="46" spans="9:9" ht="30" customHeight="1">
      <c r="I46"/>
    </row>
    <row r="47" spans="9:9" ht="30" customHeight="1">
      <c r="I47"/>
    </row>
    <row r="48" spans="9:9" ht="30" customHeight="1">
      <c r="I48"/>
    </row>
    <row r="49" spans="9:9" ht="37.9" customHeight="1">
      <c r="I49"/>
    </row>
    <row r="50" spans="9:9" ht="30" customHeight="1">
      <c r="I50"/>
    </row>
    <row r="51" spans="9:9" ht="48" customHeight="1">
      <c r="I51"/>
    </row>
    <row r="52" spans="9:9" ht="30" customHeight="1">
      <c r="I52"/>
    </row>
    <row r="53" spans="9:9" ht="30" customHeight="1">
      <c r="I53"/>
    </row>
    <row r="54" spans="9:9" ht="30" customHeight="1">
      <c r="I54"/>
    </row>
    <row r="55" spans="9:9" ht="30" customHeight="1">
      <c r="I55"/>
    </row>
    <row r="56" spans="9:9" ht="30" customHeight="1">
      <c r="I56"/>
    </row>
    <row r="57" spans="9:9" ht="30" customHeight="1">
      <c r="I57"/>
    </row>
    <row r="58" spans="9:9" ht="30" customHeight="1">
      <c r="I58"/>
    </row>
    <row r="59" spans="9:9" ht="30" customHeight="1">
      <c r="I59"/>
    </row>
    <row r="60" spans="9:9" ht="30" customHeight="1">
      <c r="I60"/>
    </row>
    <row r="61" spans="9:9" ht="30" customHeight="1">
      <c r="I61"/>
    </row>
  </sheetData>
  <mergeCells count="4">
    <mergeCell ref="B1:H1"/>
    <mergeCell ref="H5:I5"/>
    <mergeCell ref="H11:I11"/>
    <mergeCell ref="H17:I17"/>
  </mergeCells>
  <conditionalFormatting sqref="B1 I1:J4 B2:F2 B3 E3:F3 F4 H5:H6 G5:G16 J5:J18 I6 H7:I10 H11 H12:I15 H16:H17 F17:G18 H18:I21">
    <cfRule type="cellIs" dxfId="989" priority="5" operator="lessThan">
      <formula>0</formula>
    </cfRule>
  </conditionalFormatting>
  <conditionalFormatting sqref="B6:E19">
    <cfRule type="cellIs" dxfId="988" priority="1" operator="lessThan">
      <formula>0</formula>
    </cfRule>
  </conditionalFormatting>
  <conditionalFormatting sqref="C3:D3">
    <cfRule type="cellIs" dxfId="987" priority="4" operator="lessThan">
      <formula>0</formula>
    </cfRule>
  </conditionalFormatting>
  <conditionalFormatting sqref="E3">
    <cfRule type="iconSet" priority="3">
      <iconSet iconSet="3Arrows">
        <cfvo type="percentile" val="0"/>
        <cfvo type="num" val="-50"/>
        <cfvo type="num" val="50"/>
      </iconSet>
    </cfRule>
  </conditionalFormatting>
  <conditionalFormatting sqref="E6:E18">
    <cfRule type="iconSet" priority="2">
      <iconSet iconSet="3Arrows">
        <cfvo type="percentile" val="0"/>
        <cfvo type="num" val="-50"/>
        <cfvo type="num" val="50"/>
      </iconSet>
    </cfRule>
  </conditionalFormatting>
  <conditionalFormatting sqref="I20:I21">
    <cfRule type="iconSet" priority="6">
      <iconSet iconSet="3Arrows">
        <cfvo type="percentile" val="0"/>
        <cfvo type="num" val="-50"/>
        <cfvo type="num" val="50"/>
      </iconSet>
    </cfRule>
  </conditionalFormatting>
  <dataValidations count="11">
    <dataValidation allowBlank="1" showInputMessage="1" showErrorMessage="1" prompt="Create a Family Budget Planner in this worksheet. Enter details in tables. Total Projected and Actual Costs, Projected and Actual Balance, and Difference are auto calculated" sqref="A1" xr:uid="{24F7F27A-8CBD-46E8-8D80-97E5B62F9F95}"/>
    <dataValidation allowBlank="1" showInputMessage="1" showErrorMessage="1" prompt="Title of this worksheet is in this cell. Summary is in table below. Sample expense categories are in separate tables starting in B5. Enter income amounts starting in cell G2" sqref="B1" xr:uid="{331447E2-388A-465F-94D7-92D0353CAEC0}"/>
    <dataValidation allowBlank="1" showInputMessage="1" showErrorMessage="1" prompt="Total Projected Cost is auto calculated in cell below" sqref="C2" xr:uid="{185E25D9-3863-4681-B880-F0288E27FCD4}"/>
    <dataValidation allowBlank="1" showInputMessage="1" showErrorMessage="1" prompt="Total Actual Cost is auto calculated in cell below" sqref="D2" xr:uid="{B8185983-804B-46C9-B2B7-961F7A5F343D}"/>
    <dataValidation allowBlank="1" showInputMessage="1" showErrorMessage="1" prompt="Total Difference is auto calculated in cell below" sqref="E2" xr:uid="{7BF91AD6-CB93-4F71-9894-29E29A7A5A14}"/>
    <dataValidation allowBlank="1" showInputMessage="1" showErrorMessage="1" prompt="Enter Projected Monthly Income Source in this column under this heading" sqref="H5" xr:uid="{B197CFDF-CEA4-4DAB-883F-1C777E6D8CDD}"/>
    <dataValidation allowBlank="1" showInputMessage="1" showErrorMessage="1" prompt="Enter details in Actual Monthly Income table below" sqref="H10" xr:uid="{F322F6C5-AC3E-4D4F-910C-DA6764CAC02F}"/>
    <dataValidation allowBlank="1" showInputMessage="1" showErrorMessage="1" prompt="Enter Actual Monthly Income Source in this column under this heading" sqref="H11" xr:uid="{42189BD9-5F6A-4647-8483-BA28BF427E3F}"/>
    <dataValidation allowBlank="1" showInputMessage="1" showErrorMessage="1" prompt="Balance table below is auto updated" sqref="H16" xr:uid="{ECDFC952-2B75-4FFE-8635-763AFB16B50B}"/>
    <dataValidation allowBlank="1" showInputMessage="1" showErrorMessage="1" prompt="Balance is in this column under this heading" sqref="H17" xr:uid="{A924F62D-0E30-4010-973D-878454560320}"/>
    <dataValidation allowBlank="1" showInputMessage="1" showErrorMessage="1" prompt="Total Projected, Actual, and Difference is auto calculated in this table" sqref="B2" xr:uid="{0A3F3E7C-E435-4021-A926-2257925EEF1D}"/>
  </dataValidations>
  <printOptions horizontalCentered="1"/>
  <pageMargins left="0.23622047244094491" right="0.23622047244094491" top="0.51181102362204722" bottom="0.51181102362204722" header="0.51181102362204722" footer="0.51181102362204722"/>
  <pageSetup scale="60" orientation="landscape" r:id="rId1"/>
  <headerFooter alignWithMargins="0"/>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859F4-AE6D-4FEB-A911-EA787B16643F}">
  <sheetPr>
    <tabColor theme="2" tint="-9.9978637043366805E-2"/>
  </sheetPr>
  <dimension ref="B1:L74"/>
  <sheetViews>
    <sheetView topLeftCell="A9" zoomScale="70" zoomScaleNormal="70" workbookViewId="0">
      <selection activeCell="I36" sqref="I36"/>
    </sheetView>
  </sheetViews>
  <sheetFormatPr defaultColWidth="9" defaultRowHeight="13.9"/>
  <cols>
    <col min="1" max="1" width="2.375" style="12" customWidth="1"/>
    <col min="2" max="2" width="29.75" style="12" bestFit="1" customWidth="1"/>
    <col min="3" max="3" width="13.5" style="12" bestFit="1" customWidth="1"/>
    <col min="4" max="4" width="10.25" style="12" bestFit="1" customWidth="1"/>
    <col min="5" max="5" width="14.875" style="66" bestFit="1" customWidth="1"/>
    <col min="6" max="6" width="14.25" style="12" bestFit="1" customWidth="1"/>
    <col min="7" max="7" width="5.5" style="12" customWidth="1"/>
    <col min="8" max="8" width="28.125" style="12" bestFit="1" customWidth="1"/>
    <col min="9" max="9" width="13.5" style="12" bestFit="1" customWidth="1"/>
    <col min="10" max="10" width="10.25" style="12" bestFit="1" customWidth="1"/>
    <col min="11" max="11" width="12.875" style="12" bestFit="1" customWidth="1"/>
    <col min="12" max="12" width="14.25" style="12" bestFit="1" customWidth="1"/>
    <col min="13" max="16384" width="9" style="12"/>
  </cols>
  <sheetData>
    <row r="1" spans="2:12" ht="15" customHeight="1">
      <c r="B1" s="56"/>
      <c r="C1" s="56"/>
      <c r="D1" s="56"/>
      <c r="E1" s="74"/>
      <c r="F1" s="75"/>
      <c r="G1" s="56"/>
      <c r="H1" s="56"/>
      <c r="I1" s="56"/>
      <c r="J1" s="56"/>
    </row>
    <row r="2" spans="2:12" ht="15" customHeight="1">
      <c r="B2" s="22" t="s">
        <v>13</v>
      </c>
      <c r="C2" s="21" t="s">
        <v>9</v>
      </c>
      <c r="D2" s="21" t="s">
        <v>10</v>
      </c>
      <c r="E2" s="57" t="s">
        <v>37</v>
      </c>
      <c r="F2" s="21" t="s">
        <v>11</v>
      </c>
      <c r="G2" s="56"/>
      <c r="H2" s="22" t="s">
        <v>29</v>
      </c>
      <c r="I2" s="21" t="s">
        <v>9</v>
      </c>
      <c r="J2" s="21" t="s">
        <v>10</v>
      </c>
      <c r="K2" s="63" t="s">
        <v>37</v>
      </c>
      <c r="L2" s="21" t="s">
        <v>11</v>
      </c>
    </row>
    <row r="3" spans="2:12" ht="15" customHeight="1">
      <c r="B3" s="18" t="s">
        <v>38</v>
      </c>
      <c r="C3" s="17"/>
      <c r="D3" s="17"/>
      <c r="E3" s="58"/>
      <c r="F3" s="17">
        <f>Housing102115128[[#This Row],[Budgeted
cost]]-Housing102115128[[#This Row],[Actual
cost]]</f>
        <v>0</v>
      </c>
      <c r="G3" s="56"/>
      <c r="H3" s="18" t="s">
        <v>39</v>
      </c>
      <c r="I3" s="17"/>
      <c r="J3" s="17"/>
      <c r="K3" s="58"/>
      <c r="L3" s="17">
        <f>Savings92105118[[#This Row],[Budgeted
cost]]-Savings92105118[[#This Row],[Actual
cost]]</f>
        <v>0</v>
      </c>
    </row>
    <row r="4" spans="2:12" ht="15" customHeight="1">
      <c r="B4" s="18" t="s">
        <v>40</v>
      </c>
      <c r="C4" s="17"/>
      <c r="D4" s="17"/>
      <c r="E4" s="58"/>
      <c r="F4" s="17">
        <f>Housing102115128[[#This Row],[Budgeted
cost]]-Housing102115128[[#This Row],[Actual
cost]]</f>
        <v>0</v>
      </c>
      <c r="G4" s="56"/>
      <c r="H4" s="18" t="s">
        <v>41</v>
      </c>
      <c r="I4" s="17"/>
      <c r="J4" s="17"/>
      <c r="K4" s="58"/>
      <c r="L4" s="17">
        <f>Savings92105118[[#This Row],[Budgeted
cost]]-Savings92105118[[#This Row],[Actual
cost]]</f>
        <v>0</v>
      </c>
    </row>
    <row r="5" spans="2:12" ht="15" customHeight="1">
      <c r="B5" s="18" t="s">
        <v>42</v>
      </c>
      <c r="C5" s="17"/>
      <c r="D5" s="17"/>
      <c r="E5" s="58"/>
      <c r="F5" s="17">
        <f>Housing102115128[[#This Row],[Budgeted
cost]]-Housing102115128[[#This Row],[Actual
cost]]</f>
        <v>0</v>
      </c>
      <c r="G5" s="56"/>
      <c r="H5" s="18" t="s">
        <v>43</v>
      </c>
      <c r="I5" s="17"/>
      <c r="J5" s="17"/>
      <c r="K5" s="58"/>
      <c r="L5" s="17">
        <f>Savings92105118[[#This Row],[Budgeted
cost]]-Savings92105118[[#This Row],[Actual
cost]]</f>
        <v>0</v>
      </c>
    </row>
    <row r="6" spans="2:12" ht="15" customHeight="1">
      <c r="B6" s="18" t="s">
        <v>44</v>
      </c>
      <c r="C6" s="17"/>
      <c r="D6" s="17"/>
      <c r="E6" s="58"/>
      <c r="F6" s="17">
        <f>Housing102115128[[#This Row],[Budgeted
cost]]-Housing102115128[[#This Row],[Actual
cost]]</f>
        <v>0</v>
      </c>
      <c r="G6" s="56"/>
      <c r="H6" s="18" t="s">
        <v>45</v>
      </c>
      <c r="I6" s="17"/>
      <c r="J6" s="17"/>
      <c r="K6" s="58"/>
      <c r="L6" s="17">
        <f>Savings92105118[[#This Row],[Budgeted
cost]]-Savings92105118[[#This Row],[Actual
cost]]</f>
        <v>0</v>
      </c>
    </row>
    <row r="7" spans="2:12" ht="15" customHeight="1">
      <c r="B7" s="18" t="s">
        <v>46</v>
      </c>
      <c r="C7" s="17"/>
      <c r="D7" s="17"/>
      <c r="E7" s="58"/>
      <c r="F7" s="17">
        <f>Housing102115128[[#This Row],[Budgeted
cost]]-Housing102115128[[#This Row],[Actual
cost]]</f>
        <v>0</v>
      </c>
      <c r="G7" s="56"/>
      <c r="H7" s="18" t="s">
        <v>47</v>
      </c>
      <c r="I7" s="17"/>
      <c r="J7" s="17"/>
      <c r="K7" s="58"/>
      <c r="L7" s="17">
        <f>Savings92105118[[#This Row],[Budgeted
cost]]-Savings92105118[[#This Row],[Actual
cost]]</f>
        <v>0</v>
      </c>
    </row>
    <row r="8" spans="2:12" ht="15" customHeight="1">
      <c r="B8" s="18" t="s">
        <v>48</v>
      </c>
      <c r="C8" s="17"/>
      <c r="D8" s="17"/>
      <c r="E8" s="58"/>
      <c r="F8" s="17">
        <f>Housing102115128[[#This Row],[Budgeted
cost]]-Housing102115128[[#This Row],[Actual
cost]]</f>
        <v>0</v>
      </c>
      <c r="G8" s="56"/>
      <c r="H8" s="18" t="s">
        <v>49</v>
      </c>
      <c r="I8" s="17"/>
      <c r="J8" s="17"/>
      <c r="K8" s="58"/>
      <c r="L8" s="17">
        <f>Savings92105118[[#This Row],[Budgeted
cost]]-Savings92105118[[#This Row],[Actual
cost]]</f>
        <v>0</v>
      </c>
    </row>
    <row r="9" spans="2:12" ht="15" customHeight="1">
      <c r="B9" s="18" t="s">
        <v>50</v>
      </c>
      <c r="C9" s="17"/>
      <c r="D9" s="17"/>
      <c r="E9" s="58"/>
      <c r="F9" s="17">
        <f>Housing102115128[[#This Row],[Budgeted
cost]]-Housing102115128[[#This Row],[Actual
cost]]</f>
        <v>0</v>
      </c>
      <c r="G9" s="56"/>
      <c r="H9" s="18" t="s">
        <v>49</v>
      </c>
      <c r="I9" s="17"/>
      <c r="J9" s="17"/>
      <c r="K9" s="58"/>
      <c r="L9" s="17">
        <f>Savings92105118[[#This Row],[Budgeted
cost]]-Savings92105118[[#This Row],[Actual
cost]]</f>
        <v>0</v>
      </c>
    </row>
    <row r="10" spans="2:12" ht="15" customHeight="1">
      <c r="B10" s="18" t="s">
        <v>51</v>
      </c>
      <c r="C10" s="17"/>
      <c r="D10" s="17"/>
      <c r="E10" s="58"/>
      <c r="F10" s="17">
        <f>Housing102115128[[#This Row],[Budgeted
cost]]-Housing102115128[[#This Row],[Actual
cost]]</f>
        <v>0</v>
      </c>
      <c r="G10" s="56"/>
      <c r="H10" s="18" t="s">
        <v>31</v>
      </c>
      <c r="I10" s="19">
        <f>SUBTOTAL(109,Savings92105118[Budgeted
cost])</f>
        <v>0</v>
      </c>
      <c r="J10" s="19">
        <f>SUBTOTAL(109,Savings92105118[Actual
cost])</f>
        <v>0</v>
      </c>
      <c r="K10" s="61"/>
      <c r="L10" s="19">
        <f>SUBTOTAL(109,Savings92105118[Difference])</f>
        <v>0</v>
      </c>
    </row>
    <row r="11" spans="2:12" ht="15" customHeight="1">
      <c r="B11" s="18" t="s">
        <v>52</v>
      </c>
      <c r="C11" s="17"/>
      <c r="D11" s="17"/>
      <c r="E11" s="58"/>
      <c r="F11" s="17">
        <f>Housing102115128[[#This Row],[Budgeted
cost]]-Housing102115128[[#This Row],[Actual
cost]]</f>
        <v>0</v>
      </c>
      <c r="G11" s="56"/>
      <c r="H11" s="56"/>
      <c r="I11" s="56"/>
      <c r="J11" s="56"/>
    </row>
    <row r="12" spans="2:12" ht="15" customHeight="1">
      <c r="B12" s="18" t="s">
        <v>49</v>
      </c>
      <c r="C12" s="17"/>
      <c r="D12" s="17"/>
      <c r="E12" s="58"/>
      <c r="F12" s="17">
        <f>Housing102115128[[#This Row],[Budgeted
cost]]-Housing102115128[[#This Row],[Actual
cost]]</f>
        <v>0</v>
      </c>
      <c r="G12" s="56"/>
    </row>
    <row r="13" spans="2:12" ht="15" customHeight="1">
      <c r="B13" s="18" t="s">
        <v>31</v>
      </c>
      <c r="C13" s="19">
        <f>SUBTOTAL(109,Housing102115128[Budgeted
cost])</f>
        <v>0</v>
      </c>
      <c r="D13" s="19">
        <f>SUBTOTAL(109,Housing102115128[Actual
cost])</f>
        <v>0</v>
      </c>
      <c r="E13"/>
      <c r="F13" s="19">
        <f>SUBTOTAL(109,Housing102115128[Difference])</f>
        <v>0</v>
      </c>
      <c r="G13" s="56"/>
    </row>
    <row r="14" spans="2:12" ht="15" customHeight="1">
      <c r="B14" s="56"/>
      <c r="C14" s="56"/>
      <c r="D14" s="56"/>
      <c r="E14" s="74"/>
      <c r="F14" s="75"/>
      <c r="G14" s="56"/>
    </row>
    <row r="15" spans="2:12" ht="27.6">
      <c r="B15" s="22" t="s">
        <v>15</v>
      </c>
      <c r="C15" s="21" t="s">
        <v>9</v>
      </c>
      <c r="D15" s="21" t="s">
        <v>10</v>
      </c>
      <c r="E15" s="60" t="s">
        <v>37</v>
      </c>
      <c r="F15" s="21" t="s">
        <v>11</v>
      </c>
      <c r="G15" s="13"/>
      <c r="H15" s="22" t="s">
        <v>23</v>
      </c>
      <c r="I15" s="21" t="s">
        <v>9</v>
      </c>
      <c r="J15" s="23" t="s">
        <v>10</v>
      </c>
      <c r="K15" s="63" t="s">
        <v>37</v>
      </c>
      <c r="L15" s="21" t="s">
        <v>11</v>
      </c>
    </row>
    <row r="16" spans="2:12">
      <c r="B16" s="18" t="s">
        <v>53</v>
      </c>
      <c r="C16" s="17"/>
      <c r="D16" s="17"/>
      <c r="E16" s="58"/>
      <c r="F16" s="17">
        <f>Transportation101114127[[#This Row],[Budgeted
cost]]-Transportation101114127[[#This Row],[Actual
cost]]</f>
        <v>0</v>
      </c>
      <c r="G16" s="13"/>
      <c r="H16" s="18" t="s">
        <v>54</v>
      </c>
      <c r="I16" s="17"/>
      <c r="J16" s="17"/>
      <c r="K16" s="58"/>
      <c r="L16" s="17">
        <f>PersonalCare96109122[[#This Row],[Budgeted
cost]]-PersonalCare96109122[[#This Row],[Actual
cost]]</f>
        <v>0</v>
      </c>
    </row>
    <row r="17" spans="2:12">
      <c r="B17" s="18" t="s">
        <v>55</v>
      </c>
      <c r="C17" s="17"/>
      <c r="D17" s="17"/>
      <c r="E17" s="58"/>
      <c r="F17" s="17">
        <f>Transportation101114127[[#This Row],[Budgeted
cost]]-Transportation101114127[[#This Row],[Actual
cost]]</f>
        <v>0</v>
      </c>
      <c r="G17" s="13"/>
      <c r="H17" s="18" t="s">
        <v>56</v>
      </c>
      <c r="I17" s="17"/>
      <c r="J17" s="17"/>
      <c r="K17" s="58"/>
      <c r="L17" s="17">
        <f>PersonalCare96109122[[#This Row],[Budgeted
cost]]-PersonalCare96109122[[#This Row],[Actual
cost]]</f>
        <v>0</v>
      </c>
    </row>
    <row r="18" spans="2:12">
      <c r="B18" s="18" t="s">
        <v>57</v>
      </c>
      <c r="C18" s="17"/>
      <c r="D18" s="17"/>
      <c r="E18" s="58"/>
      <c r="F18" s="17">
        <f>Transportation101114127[[#This Row],[Budgeted
cost]]-Transportation101114127[[#This Row],[Actual
cost]]</f>
        <v>0</v>
      </c>
      <c r="G18" s="13"/>
      <c r="H18" s="18" t="s">
        <v>58</v>
      </c>
      <c r="I18" s="17"/>
      <c r="J18" s="17"/>
      <c r="K18" s="58"/>
      <c r="L18" s="17">
        <f>PersonalCare96109122[[#This Row],[Budgeted
cost]]-PersonalCare96109122[[#This Row],[Actual
cost]]</f>
        <v>0</v>
      </c>
    </row>
    <row r="19" spans="2:12">
      <c r="B19" s="18" t="s">
        <v>18</v>
      </c>
      <c r="C19" s="17"/>
      <c r="D19" s="17"/>
      <c r="E19" s="58"/>
      <c r="F19" s="17">
        <f>Transportation101114127[[#This Row],[Budgeted
cost]]-Transportation101114127[[#This Row],[Actual
cost]]</f>
        <v>0</v>
      </c>
      <c r="G19" s="13"/>
      <c r="H19" s="18" t="s">
        <v>59</v>
      </c>
      <c r="I19" s="17"/>
      <c r="J19" s="17"/>
      <c r="K19" s="58"/>
      <c r="L19" s="17">
        <f>PersonalCare96109122[[#This Row],[Budgeted
cost]]-PersonalCare96109122[[#This Row],[Actual
cost]]</f>
        <v>0</v>
      </c>
    </row>
    <row r="20" spans="2:12">
      <c r="B20" s="18" t="s">
        <v>60</v>
      </c>
      <c r="C20" s="17"/>
      <c r="D20" s="17"/>
      <c r="E20" s="58"/>
      <c r="F20" s="17">
        <f>Transportation101114127[[#This Row],[Budgeted
cost]]-Transportation101114127[[#This Row],[Actual
cost]]</f>
        <v>0</v>
      </c>
      <c r="G20" s="13"/>
      <c r="H20" s="18" t="s">
        <v>61</v>
      </c>
      <c r="I20" s="17"/>
      <c r="J20" s="17"/>
      <c r="K20" s="58"/>
      <c r="L20" s="17">
        <f>PersonalCare96109122[[#This Row],[Budgeted
cost]]-PersonalCare96109122[[#This Row],[Actual
cost]]</f>
        <v>0</v>
      </c>
    </row>
    <row r="21" spans="2:12">
      <c r="B21" s="18" t="s">
        <v>62</v>
      </c>
      <c r="C21" s="17"/>
      <c r="D21" s="17"/>
      <c r="E21" s="58"/>
      <c r="F21" s="17">
        <f>Transportation101114127[[#This Row],[Budgeted
cost]]-Transportation101114127[[#This Row],[Actual
cost]]</f>
        <v>0</v>
      </c>
      <c r="G21" s="13"/>
      <c r="H21" s="18" t="s">
        <v>63</v>
      </c>
      <c r="I21" s="17"/>
      <c r="J21" s="17"/>
      <c r="K21" s="58"/>
      <c r="L21" s="17">
        <f>PersonalCare96109122[[#This Row],[Budgeted
cost]]-PersonalCare96109122[[#This Row],[Actual
cost]]</f>
        <v>0</v>
      </c>
    </row>
    <row r="22" spans="2:12">
      <c r="B22" s="18" t="s">
        <v>64</v>
      </c>
      <c r="C22" s="17"/>
      <c r="D22" s="17"/>
      <c r="E22" s="58"/>
      <c r="F22" s="17">
        <f>Transportation101114127[[#This Row],[Budgeted
cost]]-Transportation101114127[[#This Row],[Actual
cost]]</f>
        <v>0</v>
      </c>
      <c r="G22" s="13"/>
      <c r="H22" s="18" t="s">
        <v>49</v>
      </c>
      <c r="I22" s="17"/>
      <c r="J22" s="17"/>
      <c r="K22" s="58"/>
      <c r="L22" s="17">
        <f>PersonalCare96109122[[#This Row],[Budgeted
cost]]-PersonalCare96109122[[#This Row],[Actual
cost]]</f>
        <v>0</v>
      </c>
    </row>
    <row r="23" spans="2:12">
      <c r="B23" s="18" t="s">
        <v>49</v>
      </c>
      <c r="C23" s="17"/>
      <c r="D23" s="17"/>
      <c r="E23" s="58"/>
      <c r="F23" s="17">
        <f>Transportation101114127[[#This Row],[Budgeted
cost]]-Transportation101114127[[#This Row],[Actual
cost]]</f>
        <v>0</v>
      </c>
      <c r="G23" s="13"/>
      <c r="H23" s="18" t="s">
        <v>49</v>
      </c>
      <c r="I23" s="17"/>
      <c r="J23" s="17"/>
      <c r="K23" s="58"/>
      <c r="L23" s="17">
        <f>PersonalCare96109122[[#This Row],[Budgeted
cost]]-PersonalCare96109122[[#This Row],[Actual
cost]]</f>
        <v>0</v>
      </c>
    </row>
    <row r="24" spans="2:12">
      <c r="B24" s="18" t="s">
        <v>49</v>
      </c>
      <c r="C24" s="17"/>
      <c r="D24" s="17"/>
      <c r="E24" s="58"/>
      <c r="F24" s="17">
        <f>Transportation101114127[[#This Row],[Budgeted
cost]]-Transportation101114127[[#This Row],[Actual
cost]]</f>
        <v>0</v>
      </c>
      <c r="G24" s="13"/>
      <c r="H24" s="18" t="s">
        <v>31</v>
      </c>
      <c r="I24" s="19">
        <f>SUBTOTAL(109,PersonalCare96109122[Budgeted
cost])</f>
        <v>0</v>
      </c>
      <c r="J24" s="19">
        <f>SUBTOTAL(109,PersonalCare96109122[Actual
cost])</f>
        <v>0</v>
      </c>
      <c r="K24" s="61"/>
      <c r="L24" s="19">
        <f>SUBTOTAL(109,PersonalCare96109122[Difference])</f>
        <v>0</v>
      </c>
    </row>
    <row r="25" spans="2:12">
      <c r="B25" s="18" t="s">
        <v>31</v>
      </c>
      <c r="C25" s="19">
        <f>SUBTOTAL(109,Transportation101114127[Budgeted
cost])</f>
        <v>0</v>
      </c>
      <c r="D25" s="19">
        <f>SUBTOTAL(109,Transportation101114127[Actual
cost])</f>
        <v>0</v>
      </c>
      <c r="E25" s="61"/>
      <c r="F25" s="19">
        <f>SUBTOTAL(109,Transportation101114127[Difference])</f>
        <v>0</v>
      </c>
      <c r="G25" s="13"/>
    </row>
    <row r="26" spans="2:12" ht="17.45">
      <c r="B26" s="7"/>
      <c r="C26" s="6"/>
      <c r="D26" s="6"/>
      <c r="E26" s="62"/>
      <c r="F26" s="13"/>
    </row>
    <row r="27" spans="2:12" ht="27.6">
      <c r="B27" s="22" t="s">
        <v>18</v>
      </c>
      <c r="C27" s="21" t="s">
        <v>9</v>
      </c>
      <c r="D27" s="21" t="s">
        <v>10</v>
      </c>
      <c r="E27" s="63" t="s">
        <v>37</v>
      </c>
      <c r="F27" s="21" t="s">
        <v>11</v>
      </c>
      <c r="G27" s="13"/>
      <c r="H27" s="22" t="s">
        <v>27</v>
      </c>
      <c r="I27" s="21" t="s">
        <v>9</v>
      </c>
      <c r="J27" s="23" t="s">
        <v>10</v>
      </c>
      <c r="K27" s="63" t="s">
        <v>37</v>
      </c>
      <c r="L27" s="21" t="s">
        <v>11</v>
      </c>
    </row>
    <row r="28" spans="2:12">
      <c r="B28" s="18" t="s">
        <v>65</v>
      </c>
      <c r="C28" s="17"/>
      <c r="D28" s="17"/>
      <c r="E28" s="58"/>
      <c r="F28" s="17">
        <f>Insurance100113126[[#This Row],[Budgeted
cost]]-Insurance100113126[[#This Row],[Actual
cost]]</f>
        <v>0</v>
      </c>
      <c r="G28" s="13"/>
      <c r="H28" s="18" t="s">
        <v>20</v>
      </c>
      <c r="I28" s="17"/>
      <c r="J28" s="17"/>
      <c r="K28" s="58"/>
      <c r="L28" s="17">
        <f>Pets97110123[[#This Row],[Budgeted
cost]]-Pets97110123[[#This Row],[Actual
cost]]</f>
        <v>0</v>
      </c>
    </row>
    <row r="29" spans="2:12">
      <c r="B29" s="18" t="s">
        <v>66</v>
      </c>
      <c r="C29" s="17"/>
      <c r="D29" s="17"/>
      <c r="E29" s="58"/>
      <c r="F29" s="17">
        <f>Insurance100113126[[#This Row],[Budgeted
cost]]-Insurance100113126[[#This Row],[Actual
cost]]</f>
        <v>0</v>
      </c>
      <c r="G29" s="13"/>
      <c r="H29" s="18" t="s">
        <v>54</v>
      </c>
      <c r="I29" s="17"/>
      <c r="J29" s="17"/>
      <c r="K29" s="58"/>
      <c r="L29" s="17">
        <f>Pets97110123[[#This Row],[Budgeted
cost]]-Pets97110123[[#This Row],[Actual
cost]]</f>
        <v>0</v>
      </c>
    </row>
    <row r="30" spans="2:12">
      <c r="B30" s="18" t="s">
        <v>67</v>
      </c>
      <c r="C30" s="17"/>
      <c r="D30" s="17"/>
      <c r="E30" s="58"/>
      <c r="F30" s="17">
        <f>Insurance100113126[[#This Row],[Budgeted
cost]]-Insurance100113126[[#This Row],[Actual
cost]]</f>
        <v>0</v>
      </c>
      <c r="G30" s="13"/>
      <c r="H30" s="18" t="s">
        <v>68</v>
      </c>
      <c r="I30" s="17"/>
      <c r="J30" s="17"/>
      <c r="K30" s="58"/>
      <c r="L30" s="17">
        <f>Pets97110123[[#This Row],[Budgeted
cost]]-Pets97110123[[#This Row],[Actual
cost]]</f>
        <v>0</v>
      </c>
    </row>
    <row r="31" spans="2:12">
      <c r="B31" s="18" t="s">
        <v>49</v>
      </c>
      <c r="C31" s="17"/>
      <c r="D31" s="17"/>
      <c r="E31" s="58"/>
      <c r="F31" s="17">
        <f>Insurance100113126[[#This Row],[Budgeted
cost]]-Insurance100113126[[#This Row],[Actual
cost]]</f>
        <v>0</v>
      </c>
      <c r="G31" s="13"/>
      <c r="H31" s="18" t="s">
        <v>69</v>
      </c>
      <c r="I31" s="17"/>
      <c r="J31" s="17"/>
      <c r="K31" s="58"/>
      <c r="L31" s="17">
        <f>Pets97110123[[#This Row],[Budgeted
cost]]-Pets97110123[[#This Row],[Actual
cost]]</f>
        <v>0</v>
      </c>
    </row>
    <row r="32" spans="2:12">
      <c r="B32" s="18" t="s">
        <v>49</v>
      </c>
      <c r="C32" s="17"/>
      <c r="D32" s="17"/>
      <c r="E32" s="58"/>
      <c r="F32" s="17">
        <f>Insurance100113126[[#This Row],[Budgeted
cost]]-Insurance100113126[[#This Row],[Actual
cost]]</f>
        <v>0</v>
      </c>
      <c r="G32" s="13"/>
      <c r="H32" s="18" t="s">
        <v>49</v>
      </c>
      <c r="I32" s="17"/>
      <c r="J32" s="17"/>
      <c r="K32" s="58"/>
      <c r="L32" s="17">
        <f>Pets97110123[[#This Row],[Budgeted
cost]]-Pets97110123[[#This Row],[Actual
cost]]</f>
        <v>0</v>
      </c>
    </row>
    <row r="33" spans="2:12">
      <c r="B33" s="18" t="s">
        <v>31</v>
      </c>
      <c r="C33" s="19">
        <f>SUBTOTAL(109,Insurance100113126[Budgeted
cost])</f>
        <v>0</v>
      </c>
      <c r="D33" s="19">
        <f>SUBTOTAL(109,Insurance100113126[Actual
cost])</f>
        <v>0</v>
      </c>
      <c r="E33" s="61"/>
      <c r="F33" s="19">
        <f>SUBTOTAL(109,Insurance100113126[Difference])</f>
        <v>0</v>
      </c>
      <c r="G33" s="13"/>
      <c r="H33" s="18" t="s">
        <v>31</v>
      </c>
      <c r="I33" s="19">
        <f>SUBTOTAL(109,Pets97110123[Budgeted
cost])</f>
        <v>0</v>
      </c>
      <c r="J33" s="19">
        <f>SUBTOTAL(109,Pets97110123[Actual
cost])</f>
        <v>0</v>
      </c>
      <c r="K33" s="64"/>
      <c r="L33" s="19">
        <f>SUBTOTAL(109,Pets97110123[Difference])</f>
        <v>0</v>
      </c>
    </row>
    <row r="34" spans="2:12" ht="17.45">
      <c r="B34" s="7"/>
      <c r="C34" s="6"/>
      <c r="D34" s="6"/>
      <c r="E34" s="62"/>
      <c r="F34" s="13"/>
    </row>
    <row r="35" spans="2:12" ht="27.6">
      <c r="B35" s="22" t="s">
        <v>20</v>
      </c>
      <c r="C35" s="57" t="s">
        <v>9</v>
      </c>
      <c r="D35" s="21" t="s">
        <v>10</v>
      </c>
      <c r="E35" s="63" t="s">
        <v>37</v>
      </c>
      <c r="F35" s="21" t="s">
        <v>11</v>
      </c>
      <c r="H35" s="22" t="s">
        <v>21</v>
      </c>
      <c r="I35" s="21" t="s">
        <v>70</v>
      </c>
      <c r="J35" s="23" t="s">
        <v>71</v>
      </c>
      <c r="K35" s="63" t="s">
        <v>37</v>
      </c>
      <c r="L35" s="21" t="s">
        <v>11</v>
      </c>
    </row>
    <row r="36" spans="2:12">
      <c r="B36" s="18" t="s">
        <v>72</v>
      </c>
      <c r="C36" s="17"/>
      <c r="D36" s="17"/>
      <c r="E36" s="58"/>
      <c r="F36" s="17">
        <f>Food99112125[[#This Row],[Budgeted
cost]]-Food99112125[[#This Row],[Actual
cost]]</f>
        <v>0</v>
      </c>
      <c r="H36" s="18" t="s">
        <v>73</v>
      </c>
      <c r="I36" s="17"/>
      <c r="J36" s="17"/>
      <c r="K36" s="58"/>
      <c r="L36" s="17">
        <f>Taxes93106119[[#This Row],[Budgeted 
cost]]-Taxes93106119[[#This Row],[Actual 
cost]]</f>
        <v>0</v>
      </c>
    </row>
    <row r="37" spans="2:12">
      <c r="B37" s="18" t="s">
        <v>74</v>
      </c>
      <c r="C37" s="17"/>
      <c r="D37" s="17"/>
      <c r="E37" s="58"/>
      <c r="F37" s="17">
        <f>Food99112125[[#This Row],[Budgeted
cost]]-Food99112125[[#This Row],[Actual
cost]]</f>
        <v>0</v>
      </c>
      <c r="G37" s="13"/>
      <c r="H37" s="18" t="s">
        <v>75</v>
      </c>
      <c r="I37" s="17"/>
      <c r="J37" s="17"/>
      <c r="K37" s="58"/>
      <c r="L37" s="17">
        <f>Taxes93106119[[#This Row],[Budgeted 
cost]]-Taxes93106119[[#This Row],[Actual 
cost]]</f>
        <v>0</v>
      </c>
    </row>
    <row r="38" spans="2:12">
      <c r="B38" s="18" t="s">
        <v>76</v>
      </c>
      <c r="C38" s="17"/>
      <c r="D38" s="17"/>
      <c r="E38" s="58"/>
      <c r="F38" s="17">
        <f>Food99112125[[#This Row],[Budgeted
cost]]-Food99112125[[#This Row],[Actual
cost]]</f>
        <v>0</v>
      </c>
      <c r="G38" s="13"/>
      <c r="H38" s="18" t="s">
        <v>49</v>
      </c>
      <c r="I38" s="17"/>
      <c r="J38" s="17"/>
      <c r="K38" s="58"/>
      <c r="L38" s="17">
        <f>Taxes93106119[[#This Row],[Budgeted 
cost]]-Taxes93106119[[#This Row],[Actual 
cost]]</f>
        <v>0</v>
      </c>
    </row>
    <row r="39" spans="2:12">
      <c r="B39" s="18" t="s">
        <v>49</v>
      </c>
      <c r="C39" s="17"/>
      <c r="D39" s="17"/>
      <c r="E39" s="58"/>
      <c r="F39" s="17">
        <f>Food99112125[[#This Row],[Budgeted
cost]]-Food99112125[[#This Row],[Actual
cost]]</f>
        <v>0</v>
      </c>
      <c r="G39" s="13"/>
      <c r="H39" s="18" t="s">
        <v>49</v>
      </c>
      <c r="I39" s="17"/>
      <c r="J39" s="17"/>
      <c r="K39" s="58"/>
      <c r="L39" s="17">
        <f>Taxes93106119[[#This Row],[Budgeted 
cost]]-Taxes93106119[[#This Row],[Actual 
cost]]</f>
        <v>0</v>
      </c>
    </row>
    <row r="40" spans="2:12">
      <c r="B40" s="18" t="s">
        <v>49</v>
      </c>
      <c r="C40" s="17"/>
      <c r="D40" s="17"/>
      <c r="E40" s="58"/>
      <c r="F40" s="17">
        <f>Food99112125[[#This Row],[Budgeted
cost]]-Food99112125[[#This Row],[Actual
cost]]</f>
        <v>0</v>
      </c>
      <c r="G40" s="13"/>
      <c r="H40" s="18" t="s">
        <v>31</v>
      </c>
      <c r="I40" s="19">
        <f>SUBTOTAL(109,Taxes93106119[Budgeted 
cost])</f>
        <v>0</v>
      </c>
      <c r="J40" s="19">
        <f>SUBTOTAL(109,Taxes93106119[Actual 
cost])</f>
        <v>0</v>
      </c>
      <c r="K40" s="61"/>
      <c r="L40" s="19">
        <f>SUBTOTAL(109,Taxes93106119[Difference])</f>
        <v>0</v>
      </c>
    </row>
    <row r="41" spans="2:12" ht="15">
      <c r="B41" s="18" t="s">
        <v>31</v>
      </c>
      <c r="C41" s="19">
        <f>SUBTOTAL(109,Food99112125[Budgeted
cost])</f>
        <v>0</v>
      </c>
      <c r="D41" s="19">
        <f>SUBTOTAL(109,Food99112125[Actual
cost])</f>
        <v>0</v>
      </c>
      <c r="E41" s="61"/>
      <c r="F41" s="19">
        <f>SUBTOTAL(109,Food99112125[Difference])</f>
        <v>0</v>
      </c>
      <c r="G41" s="13"/>
      <c r="H41" s="3"/>
      <c r="I41" s="4"/>
      <c r="J41" s="4"/>
      <c r="K41" s="65"/>
    </row>
    <row r="42" spans="2:12" ht="24.6">
      <c r="B42" s="5"/>
      <c r="C42" s="6"/>
      <c r="D42" s="6"/>
      <c r="E42" s="62"/>
      <c r="F42" s="13"/>
      <c r="G42" s="13"/>
      <c r="I42" s="20"/>
      <c r="J42" s="20"/>
      <c r="K42" s="59"/>
    </row>
    <row r="43" spans="2:12" ht="27.6">
      <c r="B43" s="22" t="s">
        <v>22</v>
      </c>
      <c r="C43" s="21" t="s">
        <v>9</v>
      </c>
      <c r="D43" s="21" t="s">
        <v>10</v>
      </c>
      <c r="E43" s="63" t="s">
        <v>37</v>
      </c>
      <c r="F43" s="21" t="s">
        <v>11</v>
      </c>
      <c r="G43" s="13"/>
      <c r="H43" s="22" t="s">
        <v>16</v>
      </c>
      <c r="I43" s="21" t="s">
        <v>9</v>
      </c>
      <c r="J43" s="23" t="s">
        <v>10</v>
      </c>
      <c r="K43" s="63" t="s">
        <v>37</v>
      </c>
      <c r="L43" s="21" t="s">
        <v>11</v>
      </c>
    </row>
    <row r="44" spans="2:12">
      <c r="B44" s="18" t="s">
        <v>54</v>
      </c>
      <c r="C44" s="17"/>
      <c r="D44" s="17"/>
      <c r="E44" s="58"/>
      <c r="F44" s="17">
        <f>Children98111124[[#This Row],[Budgeted
cost]]-Children98111124[[#This Row],[Actual
cost]]</f>
        <v>0</v>
      </c>
      <c r="H44" s="18" t="s">
        <v>77</v>
      </c>
      <c r="I44" s="17"/>
      <c r="J44" s="17"/>
      <c r="K44" s="58"/>
      <c r="L44" s="17">
        <f>Loans94107120[[#This Row],[Budgeted
cost]]-Loans94107120[[#This Row],[Actual
cost]]</f>
        <v>0</v>
      </c>
    </row>
    <row r="45" spans="2:12">
      <c r="B45" s="18" t="s">
        <v>58</v>
      </c>
      <c r="C45" s="17"/>
      <c r="D45" s="17"/>
      <c r="E45" s="58"/>
      <c r="F45" s="17">
        <f>Children98111124[[#This Row],[Budgeted
cost]]-Children98111124[[#This Row],[Actual
cost]]</f>
        <v>0</v>
      </c>
      <c r="G45" s="13"/>
      <c r="H45" s="18" t="s">
        <v>78</v>
      </c>
      <c r="I45" s="17"/>
      <c r="J45" s="17"/>
      <c r="K45" s="58"/>
      <c r="L45" s="17">
        <f>Loans94107120[[#This Row],[Budgeted
cost]]-Loans94107120[[#This Row],[Actual
cost]]</f>
        <v>0</v>
      </c>
    </row>
    <row r="46" spans="2:12">
      <c r="B46" s="18" t="s">
        <v>79</v>
      </c>
      <c r="C46" s="17"/>
      <c r="D46" s="17"/>
      <c r="E46" s="58"/>
      <c r="F46" s="17">
        <f>Children98111124[[#This Row],[Budgeted
cost]]-Children98111124[[#This Row],[Actual
cost]]</f>
        <v>0</v>
      </c>
      <c r="G46" s="13"/>
      <c r="H46" s="18" t="s">
        <v>80</v>
      </c>
      <c r="I46" s="17"/>
      <c r="J46" s="17"/>
      <c r="K46" s="58"/>
      <c r="L46" s="17">
        <f>Loans94107120[[#This Row],[Budgeted
cost]]-Loans94107120[[#This Row],[Actual
cost]]</f>
        <v>0</v>
      </c>
    </row>
    <row r="47" spans="2:12">
      <c r="B47" s="18" t="s">
        <v>81</v>
      </c>
      <c r="C47" s="17"/>
      <c r="D47" s="17"/>
      <c r="E47" s="58"/>
      <c r="F47" s="17">
        <f>Children98111124[[#This Row],[Budgeted
cost]]-Children98111124[[#This Row],[Actual
cost]]</f>
        <v>0</v>
      </c>
      <c r="G47" s="13"/>
      <c r="H47" s="18" t="s">
        <v>80</v>
      </c>
      <c r="I47" s="17"/>
      <c r="J47" s="17"/>
      <c r="K47" s="58"/>
      <c r="L47" s="17">
        <f>Loans94107120[[#This Row],[Budgeted
cost]]-Loans94107120[[#This Row],[Actual
cost]]</f>
        <v>0</v>
      </c>
    </row>
    <row r="48" spans="2:12">
      <c r="B48" s="18" t="s">
        <v>63</v>
      </c>
      <c r="C48" s="17"/>
      <c r="D48" s="17"/>
      <c r="E48" s="58"/>
      <c r="F48" s="17">
        <f>Children98111124[[#This Row],[Budgeted
cost]]-Children98111124[[#This Row],[Actual
cost]]</f>
        <v>0</v>
      </c>
      <c r="G48" s="13"/>
      <c r="H48" s="18" t="s">
        <v>80</v>
      </c>
      <c r="I48" s="17"/>
      <c r="J48" s="17"/>
      <c r="K48" s="58"/>
      <c r="L48" s="17">
        <f>Loans94107120[[#This Row],[Budgeted
cost]]-Loans94107120[[#This Row],[Actual
cost]]</f>
        <v>0</v>
      </c>
    </row>
    <row r="49" spans="2:12">
      <c r="B49" s="18" t="s">
        <v>82</v>
      </c>
      <c r="C49" s="17"/>
      <c r="D49" s="17"/>
      <c r="E49" s="58"/>
      <c r="F49" s="17">
        <f>Children98111124[[#This Row],[Budgeted
cost]]-Children98111124[[#This Row],[Actual
cost]]</f>
        <v>0</v>
      </c>
      <c r="G49" s="13"/>
      <c r="H49" s="18" t="s">
        <v>49</v>
      </c>
      <c r="I49" s="17"/>
      <c r="J49" s="17"/>
      <c r="K49" s="58"/>
      <c r="L49" s="17">
        <f>Loans94107120[[#This Row],[Budgeted
cost]]-Loans94107120[[#This Row],[Actual
cost]]</f>
        <v>0</v>
      </c>
    </row>
    <row r="50" spans="2:12">
      <c r="B50" s="18" t="s">
        <v>83</v>
      </c>
      <c r="C50" s="17"/>
      <c r="D50" s="17"/>
      <c r="E50" s="58"/>
      <c r="F50" s="17">
        <f>Children98111124[[#This Row],[Budgeted
cost]]-Children98111124[[#This Row],[Actual
cost]]</f>
        <v>0</v>
      </c>
      <c r="G50" s="13"/>
      <c r="H50" s="18" t="s">
        <v>49</v>
      </c>
      <c r="I50" s="17"/>
      <c r="J50" s="17"/>
      <c r="K50" s="58"/>
      <c r="L50" s="17">
        <f>Loans94107120[[#This Row],[Budgeted
cost]]-Loans94107120[[#This Row],[Actual
cost]]</f>
        <v>0</v>
      </c>
    </row>
    <row r="51" spans="2:12">
      <c r="B51" s="18" t="s">
        <v>84</v>
      </c>
      <c r="C51" s="17"/>
      <c r="D51" s="17"/>
      <c r="E51" s="58"/>
      <c r="F51" s="17">
        <f>Children98111124[[#This Row],[Budgeted
cost]]-Children98111124[[#This Row],[Actual
cost]]</f>
        <v>0</v>
      </c>
      <c r="G51" s="13"/>
      <c r="H51" s="18" t="s">
        <v>31</v>
      </c>
      <c r="I51" s="19">
        <f>SUBTOTAL(109,Loans94107120[Budgeted
cost])</f>
        <v>0</v>
      </c>
      <c r="J51" s="19">
        <f>SUBTOTAL(109,Loans94107120[Actual
cost])</f>
        <v>0</v>
      </c>
      <c r="K51" s="61"/>
      <c r="L51" s="19">
        <f>SUBTOTAL(109,Loans94107120[Difference])</f>
        <v>0</v>
      </c>
    </row>
    <row r="52" spans="2:12">
      <c r="B52" s="18" t="s">
        <v>49</v>
      </c>
      <c r="C52" s="17"/>
      <c r="D52" s="17"/>
      <c r="E52" s="58"/>
      <c r="F52" s="17">
        <f>Children98111124[[#This Row],[Budgeted
cost]]-Children98111124[[#This Row],[Actual
cost]]</f>
        <v>0</v>
      </c>
      <c r="G52" s="13"/>
    </row>
    <row r="53" spans="2:12" ht="17.45">
      <c r="B53" s="18" t="s">
        <v>49</v>
      </c>
      <c r="C53" s="17"/>
      <c r="D53" s="17"/>
      <c r="E53" s="58"/>
      <c r="F53" s="17">
        <f>Children98111124[[#This Row],[Budgeted
cost]]-Children98111124[[#This Row],[Actual
cost]]</f>
        <v>0</v>
      </c>
      <c r="G53" s="13"/>
      <c r="H53" s="7"/>
      <c r="I53" s="6"/>
      <c r="J53" s="6"/>
      <c r="K53" s="62"/>
    </row>
    <row r="54" spans="2:12">
      <c r="B54" s="18" t="s">
        <v>31</v>
      </c>
      <c r="C54" s="19">
        <f>SUBTOTAL(109,Children98111124[Budgeted
cost])</f>
        <v>0</v>
      </c>
      <c r="D54" s="19">
        <f>SUBTOTAL(109,Children98111124[Actual
cost])</f>
        <v>0</v>
      </c>
      <c r="E54" s="61"/>
      <c r="F54" s="19">
        <f>SUBTOTAL(109,Children98111124[Difference])</f>
        <v>0</v>
      </c>
      <c r="G54" s="13"/>
    </row>
    <row r="55" spans="2:12" ht="15">
      <c r="B55" s="5"/>
      <c r="C55" s="6"/>
      <c r="D55" s="6"/>
      <c r="E55" s="62"/>
      <c r="F55" s="13"/>
      <c r="G55" s="13"/>
    </row>
    <row r="56" spans="2:12" ht="27.6">
      <c r="B56" s="22" t="s">
        <v>25</v>
      </c>
      <c r="C56" s="21" t="s">
        <v>9</v>
      </c>
      <c r="D56" s="21" t="s">
        <v>10</v>
      </c>
      <c r="E56" s="63" t="s">
        <v>37</v>
      </c>
      <c r="F56" s="21" t="s">
        <v>11</v>
      </c>
      <c r="G56" s="14"/>
      <c r="H56" s="22" t="s">
        <v>30</v>
      </c>
      <c r="I56" s="21" t="s">
        <v>9</v>
      </c>
      <c r="J56" s="23" t="s">
        <v>10</v>
      </c>
      <c r="K56" s="63" t="s">
        <v>37</v>
      </c>
      <c r="L56" s="21" t="s">
        <v>11</v>
      </c>
    </row>
    <row r="57" spans="2:12">
      <c r="B57" s="18" t="s">
        <v>85</v>
      </c>
      <c r="C57" s="17"/>
      <c r="D57" s="17"/>
      <c r="E57" s="58"/>
      <c r="F57" s="17">
        <f>Legal90103116[[#This Row],[Budgeted
cost]]-Legal90103116[[#This Row],[Actual
cost]]</f>
        <v>0</v>
      </c>
      <c r="H57" s="18" t="s">
        <v>86</v>
      </c>
      <c r="I57" s="17"/>
      <c r="J57" s="17"/>
      <c r="K57" s="58"/>
      <c r="L57" s="17">
        <f>Gifts91104117[[#This Row],[Budgeted
cost]]-Gifts91104117[[#This Row],[Actual
cost]]</f>
        <v>0</v>
      </c>
    </row>
    <row r="58" spans="2:12">
      <c r="B58" s="18" t="s">
        <v>87</v>
      </c>
      <c r="C58" s="17"/>
      <c r="D58" s="17"/>
      <c r="E58" s="58"/>
      <c r="F58" s="17">
        <f>Legal90103116[[#This Row],[Budgeted
cost]]-Legal90103116[[#This Row],[Actual
cost]]</f>
        <v>0</v>
      </c>
      <c r="G58" s="13"/>
      <c r="H58" s="18" t="s">
        <v>88</v>
      </c>
      <c r="I58" s="17"/>
      <c r="J58" s="17"/>
      <c r="K58" s="58"/>
      <c r="L58" s="17">
        <f>Gifts91104117[[#This Row],[Budgeted
cost]]-Gifts91104117[[#This Row],[Actual
cost]]</f>
        <v>0</v>
      </c>
    </row>
    <row r="59" spans="2:12">
      <c r="B59" s="18" t="s">
        <v>89</v>
      </c>
      <c r="C59" s="17"/>
      <c r="D59" s="17"/>
      <c r="E59" s="58"/>
      <c r="F59" s="17">
        <f>Legal90103116[[#This Row],[Budgeted
cost]]-Legal90103116[[#This Row],[Actual
cost]]</f>
        <v>0</v>
      </c>
      <c r="G59" s="13"/>
      <c r="H59" s="18" t="s">
        <v>90</v>
      </c>
      <c r="I59" s="17"/>
      <c r="J59" s="17"/>
      <c r="K59" s="58"/>
      <c r="L59" s="17">
        <f>Gifts91104117[[#This Row],[Budgeted
cost]]-Gifts91104117[[#This Row],[Actual
cost]]</f>
        <v>0</v>
      </c>
    </row>
    <row r="60" spans="2:12">
      <c r="B60" s="18" t="s">
        <v>49</v>
      </c>
      <c r="C60" s="17"/>
      <c r="D60" s="17"/>
      <c r="E60" s="58"/>
      <c r="F60" s="17">
        <f>Legal90103116[[#This Row],[Budgeted
cost]]-Legal90103116[[#This Row],[Actual
cost]]</f>
        <v>0</v>
      </c>
      <c r="G60" s="13"/>
      <c r="H60" s="18" t="s">
        <v>31</v>
      </c>
      <c r="I60" s="19">
        <f>SUBTOTAL(109,Gifts91104117[Budgeted
cost])</f>
        <v>0</v>
      </c>
      <c r="J60" s="19">
        <f>SUBTOTAL(109,Gifts91104117[Actual
cost])</f>
        <v>0</v>
      </c>
      <c r="K60" s="64"/>
      <c r="L60" s="19">
        <f>SUBTOTAL(109,Gifts91104117[Difference])</f>
        <v>0</v>
      </c>
    </row>
    <row r="61" spans="2:12">
      <c r="B61" s="18" t="s">
        <v>49</v>
      </c>
      <c r="C61" s="17"/>
      <c r="D61" s="17"/>
      <c r="E61" s="58"/>
      <c r="F61" s="17">
        <f>Legal90103116[[#This Row],[Budgeted
cost]]-Legal90103116[[#This Row],[Actual
cost]]</f>
        <v>0</v>
      </c>
      <c r="G61" s="13"/>
    </row>
    <row r="62" spans="2:12">
      <c r="B62" s="18" t="s">
        <v>31</v>
      </c>
      <c r="C62" s="19">
        <f>SUBTOTAL(109,Legal90103116[Budgeted
cost])</f>
        <v>0</v>
      </c>
      <c r="D62" s="19">
        <f>SUBTOTAL(109,Legal90103116[Actual
cost])</f>
        <v>0</v>
      </c>
      <c r="E62" s="61"/>
      <c r="F62" s="19">
        <f>SUBTOTAL(109,Legal90103116[Difference])</f>
        <v>0</v>
      </c>
      <c r="G62" s="13"/>
    </row>
    <row r="63" spans="2:12" ht="24.6">
      <c r="E63" s="12"/>
      <c r="G63" s="15"/>
      <c r="I63" s="20"/>
      <c r="J63" s="20"/>
      <c r="K63" s="59"/>
    </row>
    <row r="64" spans="2:12" ht="27.6">
      <c r="B64" s="22" t="s">
        <v>19</v>
      </c>
      <c r="C64" s="21" t="s">
        <v>9</v>
      </c>
      <c r="D64" s="23" t="s">
        <v>10</v>
      </c>
      <c r="E64" s="63" t="s">
        <v>37</v>
      </c>
      <c r="F64" s="21" t="s">
        <v>11</v>
      </c>
      <c r="G64" s="14"/>
    </row>
    <row r="65" spans="2:10">
      <c r="B65" s="18" t="s">
        <v>91</v>
      </c>
      <c r="C65" s="17"/>
      <c r="D65" s="17"/>
      <c r="E65" s="58"/>
      <c r="F65" s="17">
        <f>Entertainment95108121[[#This Row],[Budgeted
cost]]-Entertainment95108121[[#This Row],[Actual
cost]]</f>
        <v>0</v>
      </c>
    </row>
    <row r="66" spans="2:10">
      <c r="B66" s="18" t="s">
        <v>92</v>
      </c>
      <c r="C66" s="17"/>
      <c r="D66" s="17"/>
      <c r="E66" s="58"/>
      <c r="F66" s="17">
        <f>Entertainment95108121[[#This Row],[Budgeted
cost]]-Entertainment95108121[[#This Row],[Actual
cost]]</f>
        <v>0</v>
      </c>
      <c r="G66" s="13"/>
    </row>
    <row r="67" spans="2:10">
      <c r="B67" s="18" t="s">
        <v>93</v>
      </c>
      <c r="C67" s="17"/>
      <c r="D67" s="17"/>
      <c r="E67" s="58"/>
      <c r="F67" s="17">
        <f>Entertainment95108121[[#This Row],[Budgeted
cost]]-Entertainment95108121[[#This Row],[Actual
cost]]</f>
        <v>0</v>
      </c>
      <c r="G67" s="13"/>
    </row>
    <row r="68" spans="2:10">
      <c r="B68" s="18" t="s">
        <v>94</v>
      </c>
      <c r="C68" s="17"/>
      <c r="D68" s="17"/>
      <c r="E68" s="58"/>
      <c r="F68" s="17">
        <f>Entertainment95108121[[#This Row],[Budgeted
cost]]-Entertainment95108121[[#This Row],[Actual
cost]]</f>
        <v>0</v>
      </c>
    </row>
    <row r="69" spans="2:10">
      <c r="B69" s="18" t="s">
        <v>95</v>
      </c>
      <c r="C69" s="17"/>
      <c r="D69" s="17"/>
      <c r="E69" s="58"/>
      <c r="F69" s="17">
        <f>Entertainment95108121[[#This Row],[Budgeted
cost]]-Entertainment95108121[[#This Row],[Actual
cost]]</f>
        <v>0</v>
      </c>
    </row>
    <row r="70" spans="2:10">
      <c r="B70" s="18" t="s">
        <v>96</v>
      </c>
      <c r="C70" s="17"/>
      <c r="D70" s="17"/>
      <c r="E70" s="58"/>
      <c r="F70" s="17">
        <f>Entertainment95108121[[#This Row],[Budgeted
cost]]-Entertainment95108121[[#This Row],[Actual
cost]]</f>
        <v>0</v>
      </c>
    </row>
    <row r="71" spans="2:10">
      <c r="B71" s="18" t="s">
        <v>49</v>
      </c>
      <c r="C71" s="17"/>
      <c r="D71" s="17"/>
      <c r="E71" s="58"/>
      <c r="F71" s="17">
        <f>Entertainment95108121[[#This Row],[Budgeted
cost]]-Entertainment95108121[[#This Row],[Actual
cost]]</f>
        <v>0</v>
      </c>
    </row>
    <row r="72" spans="2:10">
      <c r="B72" s="18" t="s">
        <v>31</v>
      </c>
      <c r="C72" s="19">
        <f>SUBTOTAL(109,Entertainment95108121[Budgeted
cost])</f>
        <v>0</v>
      </c>
      <c r="D72" s="19">
        <f>SUBTOTAL(109,Entertainment95108121[Actual
cost])</f>
        <v>0</v>
      </c>
      <c r="E72" s="64"/>
      <c r="F72" s="19">
        <f>SUBTOTAL(109,Entertainment95108121[Difference])</f>
        <v>0</v>
      </c>
      <c r="J72" s="16"/>
    </row>
    <row r="73" spans="2:10">
      <c r="E73" s="12"/>
    </row>
    <row r="74" spans="2:10">
      <c r="E74" s="12"/>
    </row>
  </sheetData>
  <conditionalFormatting sqref="B1:B14 F1:F14 G1:G25 H3:L10 H16:L24 B16:F26 G27:G33 H28:L33 B28:F34 H36:L40 B36:F42 G37:G43 H41:K41 H44:L51 B44:F55 G45:G56 H53:K53 H57:L60 B57:F62 G58:G64 B65:F72 G66:G67">
    <cfRule type="cellIs" dxfId="979" priority="3" operator="lessThan">
      <formula>0</formula>
    </cfRule>
  </conditionalFormatting>
  <conditionalFormatting sqref="B3:F13">
    <cfRule type="cellIs" dxfId="978" priority="2" operator="lessThan">
      <formula>0</formula>
    </cfRule>
  </conditionalFormatting>
  <conditionalFormatting sqref="F3:F12">
    <cfRule type="iconSet" priority="1">
      <iconSet iconSet="3Arrows">
        <cfvo type="percentile" val="0"/>
        <cfvo type="num" val="-50"/>
        <cfvo type="num" val="50"/>
      </iconSet>
    </cfRule>
  </conditionalFormatting>
  <conditionalFormatting sqref="L28:L32 L57:L59 F65:F71 L36:L39 F16:F24 L44:L50 F28:F32 F36:F40 F44:F53 L16:L23 F57:F61 L3:L9">
    <cfRule type="iconSet" priority="4">
      <iconSet iconSet="3Arrows">
        <cfvo type="percentile" val="0"/>
        <cfvo type="num" val="-50"/>
        <cfvo type="num" val="50"/>
      </iconSet>
    </cfRule>
  </conditionalFormatting>
  <dataValidations count="1">
    <dataValidation allowBlank="1" showInputMessage="1" showErrorMessage="1" prompt="Enter details in Transportation table below and in Insurance table starting in cell B30" sqref="G1:G14 B1:B12 B14" xr:uid="{AB0FE9CF-EEF6-458B-8A32-AC4FC5760B1A}"/>
  </dataValidations>
  <pageMargins left="0.7" right="0.7" top="0.75" bottom="0.75" header="0.3" footer="0.3"/>
  <pageSetup orientation="landscape" horizontalDpi="1200" verticalDpi="1200" r:id="rId1"/>
  <headerFooter>
    <oddFooter>&amp;C&amp;P&amp;R&amp;G</oddFooter>
  </headerFooter>
  <legacyDrawingHF r:id="rId2"/>
  <tableParts count="13">
    <tablePart r:id="rId3"/>
    <tablePart r:id="rId4"/>
    <tablePart r:id="rId5"/>
    <tablePart r:id="rId6"/>
    <tablePart r:id="rId7"/>
    <tablePart r:id="rId8"/>
    <tablePart r:id="rId9"/>
    <tablePart r:id="rId10"/>
    <tablePart r:id="rId11"/>
    <tablePart r:id="rId12"/>
    <tablePart r:id="rId13"/>
    <tablePart r:id="rId14"/>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0D85C8E6B4674D8FF0E575CB44FDA7" ma:contentTypeVersion="14" ma:contentTypeDescription="Create a new document." ma:contentTypeScope="" ma:versionID="7a97be421edee4589ea0b8d5de331cc4">
  <xsd:schema xmlns:xsd="http://www.w3.org/2001/XMLSchema" xmlns:xs="http://www.w3.org/2001/XMLSchema" xmlns:p="http://schemas.microsoft.com/office/2006/metadata/properties" xmlns:ns2="40d85cc9-1426-416d-b1ae-3edc3561ad8a" xmlns:ns3="e67d5d2a-5986-4842-a755-f9cb12d93536" targetNamespace="http://schemas.microsoft.com/office/2006/metadata/properties" ma:root="true" ma:fieldsID="6a8f822ae0939e7125fd56d3b1b3f5b6" ns2:_="" ns3:_="">
    <xsd:import namespace="40d85cc9-1426-416d-b1ae-3edc3561ad8a"/>
    <xsd:import namespace="e67d5d2a-5986-4842-a755-f9cb12d9353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5cc9-1426-416d-b1ae-3edc3561ad8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d2d27ad4-5677-486b-b5c9-56d049527a9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d5d2a-5986-4842-a755-f9cb12d9353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077612b-a8e4-4547-8aaf-acf4bdc37ce4}" ma:internalName="TaxCatchAll" ma:showField="CatchAllData" ma:web="e67d5d2a-5986-4842-a755-f9cb12d935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M J B Y V t 2 b V F y k A A A A 9 g A A A B I A H A B D b 2 5 m a W c v U G F j a 2 F n Z S 5 4 b W w g o h g A K K A U A A A A A A A A A A A A A A A A A A A A A A A A A A A A h Y 9 N C s I w G E S v U r J v / o o g 5 W u K d G t B E M R t S G M N t q k 0 q e n d X H g k r 2 B F q + 5 c z p u 3 m L l f b 5 C P b R N d d O 9 M Z z P E M E W R t q q r j K 0 z N P h D v E S 5 g I 1 U J 1 n r a J K t S 0 d X Z e j o / T k l J I S A Q 4 K 7 v i a c U k b 2 5 X q r j r q V 6 C O b / 3 J s r P P S K o 0 E 7 F 5 j B M e M c b z g C a Z A Z g i l s V + B T 3 u f 7 Q + E Y m j 8 0 G u h b V y s g M w R y P u D e A B Q S w M E F A A C A A g A M J B Y 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C Q W F Y o i k e 4 D g A A A B E A A A A T A B w A R m 9 y b X V s Y X M v U 2 V j d G l v b j E u b S C i G A A o o B Q A A A A A A A A A A A A A A A A A A A A A A A A A A A A r T k 0 u y c z P U w i G 0 I b W A F B L A Q I t A B Q A A g A I A D C Q W F b d m 1 R c p A A A A P Y A A A A S A A A A A A A A A A A A A A A A A A A A A A B D b 2 5 m a W c v U G F j a 2 F n Z S 5 4 b W x Q S w E C L Q A U A A I A C A A w k F h W D 8 r p q 6 Q A A A D p A A A A E w A A A A A A A A A A A A A A A A D w A A A A W 0 N v b n R l b n R f V H l w Z X N d L n h t b F B L A Q I t A B Q A A g A I A D C Q W 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x t U j + y f g C S 4 V i i Z 3 k v 0 Y z A A A A A A I A A A A A A B B m A A A A A Q A A I A A A A B R o s k + z N I H W + h / h g Q 9 G 4 U 0 y x n T y u 9 T J i W J G k i I 7 m A L B A A A A A A 6 A A A A A A g A A I A A A A J r G + y o I y + F k p Z r 0 H E 4 + e / U O V j q 0 F w N s n W w T Z g 6 t D j 0 e U A A A A P P i U k 1 Y M S m 6 P 8 V t 3 a L w S Z g U C M D / u E G d D 1 s m c h q z s t J i s 1 4 p k l T A B / C Z k j J H B u h z b N A d F 1 w e K c n k f E Q + 3 Z N q 0 6 F k 4 p U U n 9 m R V V a G N D d 0 C 5 1 q Q A A A A F G S a d e X a h E n N M F l y 3 E d l X 7 / C A t c 3 c m V Y E 6 H l l 6 U d + F n o Z q 3 Z w W 6 H 1 t L 7 h p r p M s O c W g 0 Z A y g I 6 O f r 6 q S E F W B p Y Q = < / 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67d5d2a-5986-4842-a755-f9cb12d93536" xsi:nil="true"/>
    <lcf76f155ced4ddcb4097134ff3c332f xmlns="40d85cc9-1426-416d-b1ae-3edc3561ad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10864C-50A0-4D34-87B8-37D30B855CCF}"/>
</file>

<file path=customXml/itemProps2.xml><?xml version="1.0" encoding="utf-8"?>
<ds:datastoreItem xmlns:ds="http://schemas.openxmlformats.org/officeDocument/2006/customXml" ds:itemID="{2DB9566B-2A44-4C57-95C7-21A08E985FD7}"/>
</file>

<file path=customXml/itemProps3.xml><?xml version="1.0" encoding="utf-8"?>
<ds:datastoreItem xmlns:ds="http://schemas.openxmlformats.org/officeDocument/2006/customXml" ds:itemID="{EADA21D3-F1DA-4AD0-ABFE-4101A3818A00}"/>
</file>

<file path=customXml/itemProps4.xml><?xml version="1.0" encoding="utf-8"?>
<ds:datastoreItem xmlns:ds="http://schemas.openxmlformats.org/officeDocument/2006/customXml" ds:itemID="{AE5DA4EF-F487-4573-A41E-B4AFB86E39D6}"/>
</file>

<file path=docProps/app.xml><?xml version="1.0" encoding="utf-8"?>
<Properties xmlns="http://schemas.openxmlformats.org/officeDocument/2006/extended-properties" xmlns:vt="http://schemas.openxmlformats.org/officeDocument/2006/docPropsVTypes">
  <Template>TM16400193</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2022-11-06T06:13:53Z</dcterms:created>
  <dcterms:modified xsi:type="dcterms:W3CDTF">2025-10-06T19:37:16Z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0x0101007C0D85C8E6B4674D8FF0E575CB44FDA7</vt:lpwstr>
  </property>
</Properties>
</file>